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1\27. СМР + РД Мамисон ППКД 1 и 2\"/>
    </mc:Choice>
  </mc:AlternateContent>
  <bookViews>
    <workbookView xWindow="-120" yWindow="-120" windowWidth="20700" windowHeight="11160" tabRatio="805" activeTab="4"/>
  </bookViews>
  <sheets>
    <sheet name="График" sheetId="19" r:id="rId1"/>
    <sheet name="ПЗ" sheetId="9" r:id="rId2"/>
    <sheet name="НМЦ" sheetId="8" r:id="rId3"/>
    <sheet name="Протокол НМЦК" sheetId="7" r:id="rId4"/>
    <sheet name="Проект сметы контракта" sheetId="17" r:id="rId5"/>
    <sheet name="ВОР" sheetId="14" r:id="rId6"/>
    <sheet name="НМЦК" sheetId="3" r:id="rId7"/>
    <sheet name="Затраты подрядчика" sheetId="2" r:id="rId8"/>
    <sheet name="Сводный сметный расчет" sheetId="1" r:id="rId9"/>
    <sheet name="Противоэроз защита" sheetId="10" r:id="rId10"/>
    <sheet name="Затраты подр с учетом корректир" sheetId="2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AUTOEXEC">'[1]Сводная смета ПИР МАМИСОН (2)'!$J$10</definedName>
    <definedName name="_k">'[1]Сводная смета ПИР МАМИСОН (2)'!$A$1</definedName>
    <definedName name="_m">'[1]Сводная смета ПИР МАМИСОН (2)'!$A$1</definedName>
    <definedName name="_s">'[1]Сводная смета ПИР МАМИСОН (2)'!$A$1</definedName>
    <definedName name="_z">'[1]Сводная смета ПИР МАМИСОН (2)'!$A$1</definedName>
    <definedName name="_xlnm._FilterDatabase" localSheetId="5" hidden="1">#REF!</definedName>
    <definedName name="_xlnm._FilterDatabase" localSheetId="10" hidden="1">#REF!</definedName>
    <definedName name="_xlnm._FilterDatabase" localSheetId="7" hidden="1">#REF!</definedName>
    <definedName name="_xlnm._FilterDatabase" localSheetId="6" hidden="1">#REF!</definedName>
    <definedName name="_xlnm._FilterDatabase" localSheetId="4" hidden="1">#REF!</definedName>
    <definedName name="_xlnm._FilterDatabase" hidden="1">#REF!</definedName>
    <definedName name="dck">[2]топография!$A$1</definedName>
    <definedName name="Excel_BuiltIn__FilterDatabase">[3]сохранить!$B$13570</definedName>
    <definedName name="Excel_BuiltIn_Print_Area_1">[3]сохранить!$B$13570</definedName>
    <definedName name="Excel_BuiltIn_Print_Titles" localSheetId="5">ВОР!#REF!</definedName>
    <definedName name="Excel_BuiltIn_Print_Titles" localSheetId="10">'Затраты подр с учетом корректир'!$29:$29</definedName>
    <definedName name="Excel_BuiltIn_Print_Titles" localSheetId="7">'Затраты подрядчика'!$29:$29</definedName>
    <definedName name="Excel_BuiltIn_Print_Titles" localSheetId="6">НМЦК!#REF!</definedName>
    <definedName name="Excel_BuiltIn_Print_Titles" localSheetId="4">'Проект сметы контракта'!#REF!</definedName>
    <definedName name="Excel_BuiltIn_Print_Titles" localSheetId="8">'Сводный сметный расчет'!$29:$29</definedName>
    <definedName name="Itog">'[1]Сводная смета ПИР МАМИСОН (2)'!$A$1</definedName>
    <definedName name="kkkkk">'[4]09-04-01 эксплуатац'!$J$10</definedName>
    <definedName name="name">'[4]09-04-01 эксплуатац'!$A$1</definedName>
    <definedName name="Print_Titles" localSheetId="5">ВОР!#REF!</definedName>
    <definedName name="Print_Titles" localSheetId="10">'Затраты подр с учетом корректир'!$29:$29</definedName>
    <definedName name="Print_Titles" localSheetId="7">'Затраты подрядчика'!$29:$29</definedName>
    <definedName name="Print_Titles" localSheetId="6">НМЦК!#REF!</definedName>
    <definedName name="Print_Titles" localSheetId="4">'Проект сметы контракта'!#REF!</definedName>
    <definedName name="Print_Titles" localSheetId="8">'Сводный сметный расчет'!$29:$29</definedName>
    <definedName name="SM">'[1]Сводная смета ПИР МАМИСОН (2)'!$A$1</definedName>
    <definedName name="SM_SM">'[1]Сводная смета ПИР МАМИСОН (2)'!$A$1</definedName>
    <definedName name="SM_STO">'[1]Сводная смета ПИР МАМИСОН (2)'!$A$1</definedName>
    <definedName name="SM_STO1">'[1]Сводная смета ПИР МАМИСОН (2)'!$A$1</definedName>
    <definedName name="SM_STO2">'[1]Сводная смета ПИР МАМИСОН (2)'!$A$1</definedName>
    <definedName name="SM_STO3">'[1]Сводная смета ПИР МАМИСОН (2)'!$A$1</definedName>
    <definedName name="SUM_">'[1]Сводная смета ПИР МАМИСОН (2)'!$A$1</definedName>
    <definedName name="SUM_1">'[1]Сводная смета ПИР МАМИСОН (2)'!$A$1</definedName>
    <definedName name="SUM_3">'[1]Сводная смета ПИР МАМИСОН (2)'!$A$1</definedName>
    <definedName name="SUM_4">'[1]Сводная смета ПИР МАМИСОН (2)'!$A$1</definedName>
    <definedName name="ZAK1">'[1]Сводная смета ПИР МАМИСОН (2)'!$A$1</definedName>
    <definedName name="ZAK2">'[1]Сводная смета ПИР МАМИСОН (2)'!$A$1</definedName>
    <definedName name="А">'[5]Расч(подряд)'!$A$2305</definedName>
    <definedName name="а36">'[1]Сводная смета ПИР МАМИСОН (2)'!$A$1</definedName>
    <definedName name="г">'[1]Сводная смета ПИР МАМИСОН (2)'!$A$1</definedName>
    <definedName name="ддд">'[1]Сводная смета ПИР МАМИСОН (2)'!$A$1</definedName>
    <definedName name="ДСК">[2]топография!$A$1</definedName>
    <definedName name="з">'[1]Сводная смета ПИР МАМИСОН (2)'!$B$2</definedName>
    <definedName name="_xlnm.Print_Titles" localSheetId="5">ВОР!#REF!</definedName>
    <definedName name="_xlnm.Print_Titles" localSheetId="10">'Затраты подр с учетом корректир'!$29:$29</definedName>
    <definedName name="_xlnm.Print_Titles" localSheetId="7">'Затраты подрядчика'!$29:$29</definedName>
    <definedName name="_xlnm.Print_Titles" localSheetId="6">НМЦК!$10:$11</definedName>
    <definedName name="_xlnm.Print_Titles" localSheetId="4">'Проект сметы контракта'!$3:$5</definedName>
    <definedName name="_xlnm.Print_Titles" localSheetId="8">'Сводный сметный расчет'!$29:$29</definedName>
    <definedName name="Индекс">'[5]Расч(подряд)'!$J$10</definedName>
    <definedName name="индекс_0">'[4]09-04-01 эксплуатац'!$B$2</definedName>
    <definedName name="Индекс_1">'[4]09-04-01 эксплуатац'!$A$1</definedName>
    <definedName name="индекс_100">'[4]09-04-01 эксплуатац'!$A$1</definedName>
    <definedName name="индекс_101">'[4]09-04-01 эксплуатац'!$A$1</definedName>
    <definedName name="индекс_102">'[4]09-04-01 эксплуатац'!$A$1</definedName>
    <definedName name="индекс_103">'[4]09-04-01 эксплуатац'!$A$1</definedName>
    <definedName name="индекс_104">'[4]09-04-01 эксплуатац'!$A$1</definedName>
    <definedName name="индекс_105">'[4]09-04-01 эксплуатац'!$A$1</definedName>
    <definedName name="индекс_С3">'[4]09-04-01 эксплуатац'!$A$1</definedName>
    <definedName name="Индекс1">'[5]Расч(подряд)'!$A$1</definedName>
    <definedName name="Индекс2">'[5]Расч(подряд)'!$A$1</definedName>
    <definedName name="ИндексА">'[4]09-04-01 эксплуатац'!$B$2</definedName>
    <definedName name="калплан">'[1]Сводная смета ПИР МАМИСОН (2)'!$H$8</definedName>
    <definedName name="_xlnm.Print_Area" localSheetId="5">ВОР!$A$1:$E$287</definedName>
    <definedName name="_xlnm.Print_Area" localSheetId="0">График!$A$1:$D$11</definedName>
    <definedName name="_xlnm.Print_Area" localSheetId="2">НМЦ!$A$1:$N$19</definedName>
    <definedName name="_xlnm.Print_Area" localSheetId="6">НМЦК!$A$1:$L$299</definedName>
    <definedName name="_xlnm.Print_Area" localSheetId="1">ПЗ!$A$1:$C$31</definedName>
    <definedName name="_xlnm.Print_Area" localSheetId="4">'Проект сметы контракта'!$A$1:$I$293</definedName>
    <definedName name="_xlnm.Print_Area" localSheetId="3">'Протокол НМЦК'!$A$1:$M$40</definedName>
    <definedName name="Опер">[6]Орг!$C$50:$C$86</definedName>
    <definedName name="ПИР">'[4]09-04-01 эксплуатац'!$C$3</definedName>
    <definedName name="план">[2]топография!$A$1</definedName>
    <definedName name="пр">'[7]09-04-01'!$C$7</definedName>
    <definedName name="пробная">'[1]Сводная смета ПИР МАМИСОН (2)'!$B$2</definedName>
    <definedName name="свод1">[2]топография!$A$1</definedName>
    <definedName name="смета4">'[1]Сводная смета ПИР МАМИСОН (2)'!$B$2</definedName>
    <definedName name="Справка">'[4]09-04-01 эксплуатац'!$D$4</definedName>
    <definedName name="Справкаииии">'[5]Расч(подряд)'!$A$1537</definedName>
    <definedName name="сср">'[4]09-04-01 эксплуатац'!$B$2</definedName>
    <definedName name="ссср">'[4]09-04-01 эксплуатац'!$A$1</definedName>
    <definedName name="Цена1">'[4]09-04-01 эксплуатац'!$A$1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8" l="1"/>
  <c r="F319" i="3" l="1"/>
  <c r="F337" i="3"/>
  <c r="F336" i="3"/>
  <c r="F345" i="3"/>
  <c r="D345" i="3"/>
  <c r="F343" i="3"/>
  <c r="D343" i="3"/>
  <c r="F341" i="3"/>
  <c r="D341" i="3"/>
  <c r="F318" i="3" l="1"/>
  <c r="G307" i="3"/>
  <c r="O420" i="20" l="1"/>
  <c r="O417" i="20"/>
  <c r="O416" i="20"/>
  <c r="O415" i="20"/>
  <c r="M31" i="20"/>
  <c r="M39" i="20" s="1"/>
  <c r="N31" i="20"/>
  <c r="D32" i="20"/>
  <c r="D31" i="20" s="1"/>
  <c r="H31" i="20" s="1"/>
  <c r="L32" i="20"/>
  <c r="K33" i="20"/>
  <c r="L33" i="20"/>
  <c r="D35" i="20"/>
  <c r="D36" i="20"/>
  <c r="K36" i="20" s="1"/>
  <c r="O36" i="20" s="1"/>
  <c r="G37" i="20"/>
  <c r="N37" i="20" s="1"/>
  <c r="G38" i="20"/>
  <c r="N38" i="20" s="1"/>
  <c r="O38" i="20" s="1"/>
  <c r="E39" i="20"/>
  <c r="F39" i="20"/>
  <c r="D43" i="20"/>
  <c r="D42" i="20" s="1"/>
  <c r="H42" i="20" s="1"/>
  <c r="K44" i="20"/>
  <c r="O44" i="20" s="1"/>
  <c r="K45" i="20"/>
  <c r="O45" i="20" s="1"/>
  <c r="H46" i="20"/>
  <c r="K46" i="20"/>
  <c r="O46" i="20"/>
  <c r="E47" i="20"/>
  <c r="D48" i="20"/>
  <c r="L48" i="20"/>
  <c r="M48" i="20"/>
  <c r="K49" i="20"/>
  <c r="L49" i="20"/>
  <c r="M49" i="20"/>
  <c r="F50" i="20"/>
  <c r="M50" i="20" s="1"/>
  <c r="K50" i="20"/>
  <c r="L50" i="20"/>
  <c r="D52" i="20"/>
  <c r="K52" i="20" s="1"/>
  <c r="E52" i="20"/>
  <c r="L52" i="20" s="1"/>
  <c r="E53" i="20"/>
  <c r="L53" i="20" s="1"/>
  <c r="K53" i="20"/>
  <c r="E54" i="20"/>
  <c r="K54" i="20"/>
  <c r="H55" i="20"/>
  <c r="K55" i="20"/>
  <c r="L55" i="20"/>
  <c r="D57" i="20"/>
  <c r="K57" i="20" s="1"/>
  <c r="L57" i="20"/>
  <c r="M57" i="20"/>
  <c r="E58" i="20"/>
  <c r="L58" i="20" s="1"/>
  <c r="F58" i="20"/>
  <c r="M58" i="20" s="1"/>
  <c r="K58" i="20"/>
  <c r="D59" i="20"/>
  <c r="K59" i="20" s="1"/>
  <c r="E59" i="20"/>
  <c r="L59" i="20" s="1"/>
  <c r="F59" i="20"/>
  <c r="K60" i="20"/>
  <c r="L60" i="20"/>
  <c r="M60" i="20"/>
  <c r="H61" i="20"/>
  <c r="K61" i="20"/>
  <c r="L61" i="20"/>
  <c r="M61" i="20"/>
  <c r="H62" i="20"/>
  <c r="K62" i="20"/>
  <c r="L62" i="20"/>
  <c r="M62" i="20"/>
  <c r="D63" i="20"/>
  <c r="E63" i="20"/>
  <c r="F63" i="20"/>
  <c r="K64" i="20"/>
  <c r="L64" i="20"/>
  <c r="M64" i="20"/>
  <c r="K65" i="20"/>
  <c r="L65" i="20"/>
  <c r="M65" i="20"/>
  <c r="K66" i="20"/>
  <c r="L66" i="20"/>
  <c r="M66" i="20"/>
  <c r="K67" i="20"/>
  <c r="L67" i="20"/>
  <c r="M67" i="20"/>
  <c r="H68" i="20"/>
  <c r="K68" i="20"/>
  <c r="L68" i="20"/>
  <c r="M68" i="20"/>
  <c r="H69" i="20"/>
  <c r="K69" i="20"/>
  <c r="L69" i="20"/>
  <c r="M69" i="20"/>
  <c r="D70" i="20"/>
  <c r="E70" i="20"/>
  <c r="K71" i="20"/>
  <c r="L71" i="20"/>
  <c r="K72" i="20"/>
  <c r="L72" i="20"/>
  <c r="K73" i="20"/>
  <c r="L73" i="20"/>
  <c r="H74" i="20"/>
  <c r="K74" i="20"/>
  <c r="L74" i="20"/>
  <c r="H75" i="20"/>
  <c r="K75" i="20"/>
  <c r="L75" i="20"/>
  <c r="M75" i="20"/>
  <c r="F76" i="20"/>
  <c r="K77" i="20"/>
  <c r="L77" i="20"/>
  <c r="M77" i="20"/>
  <c r="K78" i="20"/>
  <c r="L78" i="20"/>
  <c r="M78" i="20"/>
  <c r="E79" i="20"/>
  <c r="E76" i="20" s="1"/>
  <c r="K79" i="20"/>
  <c r="M79" i="20"/>
  <c r="E80" i="20"/>
  <c r="K81" i="20"/>
  <c r="L81" i="20"/>
  <c r="M81" i="20"/>
  <c r="K82" i="20"/>
  <c r="L82" i="20"/>
  <c r="M82" i="20"/>
  <c r="F83" i="20"/>
  <c r="F80" i="20" s="1"/>
  <c r="K83" i="20"/>
  <c r="L83" i="20"/>
  <c r="E84" i="20"/>
  <c r="K85" i="20"/>
  <c r="L85" i="20"/>
  <c r="M85" i="20"/>
  <c r="F86" i="20"/>
  <c r="F84" i="20" s="1"/>
  <c r="K86" i="20"/>
  <c r="L86" i="20"/>
  <c r="E87" i="20"/>
  <c r="F87" i="20"/>
  <c r="K88" i="20"/>
  <c r="L88" i="20"/>
  <c r="M88" i="20"/>
  <c r="K89" i="20"/>
  <c r="L89" i="20"/>
  <c r="M89" i="20"/>
  <c r="K90" i="20"/>
  <c r="L90" i="20"/>
  <c r="M90" i="20"/>
  <c r="H91" i="20"/>
  <c r="K91" i="20"/>
  <c r="L91" i="20"/>
  <c r="M91" i="20"/>
  <c r="D93" i="20"/>
  <c r="H93" i="20" s="1"/>
  <c r="K94" i="20"/>
  <c r="K95" i="20"/>
  <c r="O95" i="20" s="1"/>
  <c r="K96" i="20"/>
  <c r="O96" i="20" s="1"/>
  <c r="K97" i="20"/>
  <c r="O97" i="20" s="1"/>
  <c r="H98" i="20"/>
  <c r="K98" i="20"/>
  <c r="O98" i="20" s="1"/>
  <c r="D99" i="20"/>
  <c r="E99" i="20"/>
  <c r="K100" i="20"/>
  <c r="L100" i="20"/>
  <c r="M100" i="20"/>
  <c r="K101" i="20"/>
  <c r="L101" i="20"/>
  <c r="M101" i="20"/>
  <c r="F102" i="20"/>
  <c r="K102" i="20"/>
  <c r="L102" i="20"/>
  <c r="D103" i="20"/>
  <c r="E103" i="20"/>
  <c r="H104" i="20"/>
  <c r="K104" i="20"/>
  <c r="L104" i="20"/>
  <c r="H105" i="20"/>
  <c r="K105" i="20"/>
  <c r="L105" i="20"/>
  <c r="H106" i="20"/>
  <c r="K106" i="20"/>
  <c r="L106" i="20"/>
  <c r="H107" i="20"/>
  <c r="K107" i="20"/>
  <c r="L107" i="20"/>
  <c r="D108" i="20"/>
  <c r="E108" i="20"/>
  <c r="H109" i="20"/>
  <c r="K109" i="20"/>
  <c r="L109" i="20"/>
  <c r="M109" i="20"/>
  <c r="F110" i="20"/>
  <c r="F108" i="20" s="1"/>
  <c r="K110" i="20"/>
  <c r="L110" i="20"/>
  <c r="H111" i="20"/>
  <c r="K111" i="20"/>
  <c r="L111" i="20"/>
  <c r="M111" i="20"/>
  <c r="H112" i="20"/>
  <c r="K112" i="20"/>
  <c r="L112" i="20"/>
  <c r="M112" i="20"/>
  <c r="H113" i="20"/>
  <c r="K113" i="20"/>
  <c r="L113" i="20"/>
  <c r="M113" i="20"/>
  <c r="H114" i="20"/>
  <c r="K114" i="20"/>
  <c r="L114" i="20"/>
  <c r="M114" i="20"/>
  <c r="E115" i="20"/>
  <c r="D116" i="20"/>
  <c r="D115" i="20" s="1"/>
  <c r="K116" i="20"/>
  <c r="L116" i="20"/>
  <c r="M116" i="20"/>
  <c r="F117" i="20"/>
  <c r="F115" i="20" s="1"/>
  <c r="H117" i="20"/>
  <c r="K117" i="20"/>
  <c r="L117" i="20"/>
  <c r="H118" i="20"/>
  <c r="K118" i="20"/>
  <c r="L118" i="20"/>
  <c r="M118" i="20"/>
  <c r="H119" i="20"/>
  <c r="K119" i="20"/>
  <c r="L119" i="20"/>
  <c r="M119" i="20"/>
  <c r="H120" i="20"/>
  <c r="K120" i="20"/>
  <c r="L120" i="20"/>
  <c r="M120" i="20"/>
  <c r="H121" i="20"/>
  <c r="K121" i="20"/>
  <c r="L121" i="20"/>
  <c r="M121" i="20"/>
  <c r="E122" i="20"/>
  <c r="K123" i="20"/>
  <c r="L123" i="20"/>
  <c r="D124" i="20"/>
  <c r="D122" i="20" s="1"/>
  <c r="L124" i="20"/>
  <c r="H125" i="20"/>
  <c r="K125" i="20"/>
  <c r="L125" i="20"/>
  <c r="H126" i="20"/>
  <c r="K126" i="20"/>
  <c r="L126" i="20"/>
  <c r="M126" i="20"/>
  <c r="F127" i="20"/>
  <c r="K128" i="20"/>
  <c r="L128" i="20"/>
  <c r="M128" i="20"/>
  <c r="K129" i="20"/>
  <c r="L129" i="20"/>
  <c r="M129" i="20"/>
  <c r="E130" i="20"/>
  <c r="E127" i="20" s="1"/>
  <c r="K130" i="20"/>
  <c r="M130" i="20"/>
  <c r="E131" i="20"/>
  <c r="K132" i="20"/>
  <c r="L132" i="20"/>
  <c r="M132" i="20"/>
  <c r="K133" i="20"/>
  <c r="L133" i="20"/>
  <c r="M133" i="20"/>
  <c r="F134" i="20"/>
  <c r="F131" i="20" s="1"/>
  <c r="K134" i="20"/>
  <c r="L134" i="20"/>
  <c r="H135" i="20"/>
  <c r="K135" i="20"/>
  <c r="L135" i="20"/>
  <c r="M135" i="20"/>
  <c r="K137" i="20"/>
  <c r="L137" i="20"/>
  <c r="M137" i="20"/>
  <c r="K138" i="20"/>
  <c r="L138" i="20"/>
  <c r="M138" i="20"/>
  <c r="E139" i="20"/>
  <c r="E136" i="20" s="1"/>
  <c r="F139" i="20"/>
  <c r="M139" i="20" s="1"/>
  <c r="K139" i="20"/>
  <c r="H140" i="20"/>
  <c r="K140" i="20"/>
  <c r="L140" i="20"/>
  <c r="M140" i="20"/>
  <c r="D144" i="20"/>
  <c r="K144" i="20" s="1"/>
  <c r="O144" i="20" s="1"/>
  <c r="D145" i="20"/>
  <c r="K145" i="20" s="1"/>
  <c r="O145" i="20" s="1"/>
  <c r="D146" i="20"/>
  <c r="K146" i="20" s="1"/>
  <c r="O146" i="20" s="1"/>
  <c r="D147" i="20"/>
  <c r="D148" i="20"/>
  <c r="K148" i="20" s="1"/>
  <c r="O148" i="20" s="1"/>
  <c r="D149" i="20"/>
  <c r="H149" i="20" s="1"/>
  <c r="D150" i="20"/>
  <c r="K150" i="20" s="1"/>
  <c r="O150" i="20" s="1"/>
  <c r="D152" i="20"/>
  <c r="K152" i="20" s="1"/>
  <c r="D153" i="20"/>
  <c r="D154" i="20"/>
  <c r="K154" i="20" s="1"/>
  <c r="O154" i="20" s="1"/>
  <c r="D156" i="20"/>
  <c r="K156" i="20" s="1"/>
  <c r="O156" i="20" s="1"/>
  <c r="D157" i="20"/>
  <c r="D159" i="20"/>
  <c r="K159" i="20" s="1"/>
  <c r="D160" i="20"/>
  <c r="H160" i="20" s="1"/>
  <c r="D162" i="20"/>
  <c r="H162" i="20" s="1"/>
  <c r="D163" i="20"/>
  <c r="K163" i="20" s="1"/>
  <c r="O163" i="20" s="1"/>
  <c r="D165" i="20"/>
  <c r="K166" i="20"/>
  <c r="O166" i="20" s="1"/>
  <c r="K167" i="20"/>
  <c r="O167" i="20" s="1"/>
  <c r="H168" i="20"/>
  <c r="K168" i="20"/>
  <c r="D170" i="20"/>
  <c r="D169" i="20" s="1"/>
  <c r="H169" i="20" s="1"/>
  <c r="H171" i="20"/>
  <c r="K171" i="20"/>
  <c r="O171" i="20" s="1"/>
  <c r="H172" i="20"/>
  <c r="K172" i="20"/>
  <c r="O172" i="20" s="1"/>
  <c r="H174" i="20"/>
  <c r="K174" i="20"/>
  <c r="O174" i="20" s="1"/>
  <c r="D175" i="20"/>
  <c r="H176" i="20"/>
  <c r="K176" i="20"/>
  <c r="O176" i="20" s="1"/>
  <c r="D178" i="20"/>
  <c r="H178" i="20" s="1"/>
  <c r="H179" i="20"/>
  <c r="K179" i="20"/>
  <c r="O179" i="20" s="1"/>
  <c r="H180" i="20"/>
  <c r="K180" i="20"/>
  <c r="O180" i="20"/>
  <c r="H181" i="20"/>
  <c r="K181" i="20"/>
  <c r="O181" i="20" s="1"/>
  <c r="D182" i="20"/>
  <c r="H182" i="20" s="1"/>
  <c r="D183" i="20"/>
  <c r="H183" i="20" s="1"/>
  <c r="H184" i="20"/>
  <c r="K184" i="20"/>
  <c r="O184" i="20" s="1"/>
  <c r="D185" i="20"/>
  <c r="K185" i="20" s="1"/>
  <c r="O185" i="20" s="1"/>
  <c r="D186" i="20"/>
  <c r="H187" i="20"/>
  <c r="K187" i="20"/>
  <c r="O187" i="20" s="1"/>
  <c r="D189" i="20"/>
  <c r="D190" i="20"/>
  <c r="K190" i="20" s="1"/>
  <c r="L190" i="20"/>
  <c r="M190" i="20"/>
  <c r="D193" i="20"/>
  <c r="K193" i="20" s="1"/>
  <c r="O193" i="20" s="1"/>
  <c r="H193" i="20"/>
  <c r="D194" i="20"/>
  <c r="H194" i="20" s="1"/>
  <c r="D195" i="20"/>
  <c r="H195" i="20" s="1"/>
  <c r="H196" i="20"/>
  <c r="K196" i="20"/>
  <c r="O196" i="20" s="1"/>
  <c r="H197" i="20"/>
  <c r="K197" i="20"/>
  <c r="O197" i="20" s="1"/>
  <c r="H198" i="20"/>
  <c r="K198" i="20"/>
  <c r="O198" i="20" s="1"/>
  <c r="D200" i="20"/>
  <c r="H200" i="20" s="1"/>
  <c r="H201" i="20"/>
  <c r="K201" i="20"/>
  <c r="O201" i="20" s="1"/>
  <c r="D202" i="20"/>
  <c r="K202" i="20" s="1"/>
  <c r="O202" i="20" s="1"/>
  <c r="H203" i="20"/>
  <c r="K203" i="20"/>
  <c r="O203" i="20" s="1"/>
  <c r="D204" i="20"/>
  <c r="H204" i="20" s="1"/>
  <c r="H205" i="20"/>
  <c r="K205" i="20"/>
  <c r="O205" i="20" s="1"/>
  <c r="H206" i="20"/>
  <c r="K206" i="20"/>
  <c r="O206" i="20" s="1"/>
  <c r="E207" i="20"/>
  <c r="F207" i="20"/>
  <c r="K208" i="20"/>
  <c r="L208" i="20"/>
  <c r="M208" i="20"/>
  <c r="K209" i="20"/>
  <c r="L209" i="20"/>
  <c r="M209" i="20"/>
  <c r="K210" i="20"/>
  <c r="L210" i="20"/>
  <c r="M210" i="20"/>
  <c r="K211" i="20"/>
  <c r="L211" i="20"/>
  <c r="M211" i="20"/>
  <c r="D212" i="20"/>
  <c r="L212" i="20"/>
  <c r="M212" i="20"/>
  <c r="D213" i="20"/>
  <c r="K213" i="20" s="1"/>
  <c r="L213" i="20"/>
  <c r="M213" i="20"/>
  <c r="K214" i="20"/>
  <c r="L214" i="20"/>
  <c r="O214" i="20" s="1"/>
  <c r="M214" i="20"/>
  <c r="D216" i="20"/>
  <c r="K216" i="20" s="1"/>
  <c r="L216" i="20"/>
  <c r="M216" i="20"/>
  <c r="D217" i="20"/>
  <c r="K217" i="20" s="1"/>
  <c r="L217" i="20"/>
  <c r="M217" i="20"/>
  <c r="D218" i="20"/>
  <c r="K218" i="20" s="1"/>
  <c r="O218" i="20" s="1"/>
  <c r="L218" i="20"/>
  <c r="M218" i="20"/>
  <c r="D219" i="20"/>
  <c r="K219" i="20" s="1"/>
  <c r="L219" i="20"/>
  <c r="M219" i="20"/>
  <c r="D220" i="20"/>
  <c r="K220" i="20" s="1"/>
  <c r="L220" i="20"/>
  <c r="M220" i="20"/>
  <c r="D221" i="20"/>
  <c r="K221" i="20" s="1"/>
  <c r="L221" i="20"/>
  <c r="M221" i="20"/>
  <c r="D222" i="20"/>
  <c r="K222" i="20" s="1"/>
  <c r="L222" i="20"/>
  <c r="M222" i="20"/>
  <c r="D223" i="20"/>
  <c r="K223" i="20" s="1"/>
  <c r="L223" i="20"/>
  <c r="M223" i="20"/>
  <c r="D224" i="20"/>
  <c r="K224" i="20" s="1"/>
  <c r="L224" i="20"/>
  <c r="M224" i="20"/>
  <c r="D226" i="20"/>
  <c r="K226" i="20" s="1"/>
  <c r="L226" i="20"/>
  <c r="M226" i="20"/>
  <c r="D227" i="20"/>
  <c r="K227" i="20" s="1"/>
  <c r="L227" i="20"/>
  <c r="M227" i="20"/>
  <c r="D228" i="20"/>
  <c r="K228" i="20" s="1"/>
  <c r="L228" i="20"/>
  <c r="M228" i="20"/>
  <c r="D229" i="20"/>
  <c r="K229" i="20" s="1"/>
  <c r="L229" i="20"/>
  <c r="M229" i="20"/>
  <c r="D230" i="20"/>
  <c r="K230" i="20"/>
  <c r="L230" i="20"/>
  <c r="M230" i="20"/>
  <c r="D231" i="20"/>
  <c r="K231" i="20" s="1"/>
  <c r="L231" i="20"/>
  <c r="M231" i="20"/>
  <c r="D232" i="20"/>
  <c r="K232" i="20" s="1"/>
  <c r="L232" i="20"/>
  <c r="M232" i="20"/>
  <c r="D233" i="20"/>
  <c r="K233" i="20" s="1"/>
  <c r="L233" i="20"/>
  <c r="M233" i="20"/>
  <c r="N234" i="20"/>
  <c r="M235" i="20"/>
  <c r="D236" i="20"/>
  <c r="D240" i="20" s="1"/>
  <c r="D402" i="20" s="1"/>
  <c r="K402" i="20" s="1"/>
  <c r="K237" i="20"/>
  <c r="L237" i="20"/>
  <c r="M237" i="20"/>
  <c r="K238" i="20"/>
  <c r="L238" i="20"/>
  <c r="M238" i="20"/>
  <c r="F239" i="20"/>
  <c r="K239" i="20"/>
  <c r="N240" i="20"/>
  <c r="G242" i="20"/>
  <c r="N242" i="20"/>
  <c r="N253" i="20" s="1"/>
  <c r="D244" i="20"/>
  <c r="H244" i="20" s="1"/>
  <c r="L244" i="20"/>
  <c r="M244" i="20"/>
  <c r="D245" i="20"/>
  <c r="H245" i="20" s="1"/>
  <c r="L245" i="20"/>
  <c r="M245" i="20"/>
  <c r="D246" i="20"/>
  <c r="E246" i="20"/>
  <c r="K246" i="20"/>
  <c r="M246" i="20"/>
  <c r="D247" i="20"/>
  <c r="K247" i="20" s="1"/>
  <c r="E247" i="20"/>
  <c r="L247" i="20" s="1"/>
  <c r="M247" i="20"/>
  <c r="E248" i="20"/>
  <c r="H248" i="20" s="1"/>
  <c r="K248" i="20"/>
  <c r="M248" i="20"/>
  <c r="E249" i="20"/>
  <c r="F249" i="20"/>
  <c r="M249" i="20" s="1"/>
  <c r="K249" i="20"/>
  <c r="D250" i="20"/>
  <c r="K250" i="20" s="1"/>
  <c r="E250" i="20"/>
  <c r="L250" i="20" s="1"/>
  <c r="F250" i="20"/>
  <c r="M250" i="20" s="1"/>
  <c r="D251" i="20"/>
  <c r="K251" i="20" s="1"/>
  <c r="E251" i="20"/>
  <c r="L251" i="20" s="1"/>
  <c r="F251" i="20"/>
  <c r="M251" i="20" s="1"/>
  <c r="H252" i="20"/>
  <c r="K252" i="20"/>
  <c r="O252" i="20" s="1"/>
  <c r="F255" i="20"/>
  <c r="D256" i="20"/>
  <c r="K256" i="20" s="1"/>
  <c r="L256" i="20"/>
  <c r="M256" i="20"/>
  <c r="D257" i="20"/>
  <c r="K257" i="20" s="1"/>
  <c r="L257" i="20"/>
  <c r="M257" i="20"/>
  <c r="D258" i="20"/>
  <c r="K258" i="20" s="1"/>
  <c r="L258" i="20"/>
  <c r="M258" i="20"/>
  <c r="E259" i="20"/>
  <c r="K259" i="20"/>
  <c r="M259" i="20"/>
  <c r="D260" i="20"/>
  <c r="K260" i="20" s="1"/>
  <c r="L260" i="20"/>
  <c r="M260" i="20"/>
  <c r="D262" i="20"/>
  <c r="K262" i="20" s="1"/>
  <c r="L262" i="20"/>
  <c r="M262" i="20"/>
  <c r="D263" i="20"/>
  <c r="K263" i="20" s="1"/>
  <c r="L263" i="20"/>
  <c r="M263" i="20"/>
  <c r="D264" i="20"/>
  <c r="K264" i="20" s="1"/>
  <c r="L264" i="20"/>
  <c r="M264" i="20"/>
  <c r="E265" i="20"/>
  <c r="D265" i="20" s="1"/>
  <c r="K265" i="20" s="1"/>
  <c r="F265" i="20"/>
  <c r="E266" i="20"/>
  <c r="L266" i="20" s="1"/>
  <c r="F266" i="20"/>
  <c r="M266" i="20" s="1"/>
  <c r="D267" i="20"/>
  <c r="K267" i="20" s="1"/>
  <c r="L267" i="20"/>
  <c r="M267" i="20"/>
  <c r="M268" i="20"/>
  <c r="D269" i="20"/>
  <c r="K269" i="20"/>
  <c r="L269" i="20"/>
  <c r="D270" i="20"/>
  <c r="K270" i="20" s="1"/>
  <c r="L270" i="20"/>
  <c r="D271" i="20"/>
  <c r="K271" i="20" s="1"/>
  <c r="L271" i="20"/>
  <c r="D272" i="20"/>
  <c r="K272" i="20" s="1"/>
  <c r="L272" i="20"/>
  <c r="D273" i="20"/>
  <c r="K273" i="20" s="1"/>
  <c r="L273" i="20"/>
  <c r="N274" i="20"/>
  <c r="M275" i="20"/>
  <c r="N276" i="20"/>
  <c r="D277" i="20"/>
  <c r="K278" i="20"/>
  <c r="L278" i="20"/>
  <c r="M278" i="20"/>
  <c r="K279" i="20"/>
  <c r="L279" i="20"/>
  <c r="M279" i="20"/>
  <c r="K280" i="20"/>
  <c r="L280" i="20"/>
  <c r="M280" i="20"/>
  <c r="D281" i="20"/>
  <c r="H281" i="20" s="1"/>
  <c r="K282" i="20"/>
  <c r="L282" i="20"/>
  <c r="M282" i="20"/>
  <c r="K283" i="20"/>
  <c r="L283" i="20"/>
  <c r="M283" i="20"/>
  <c r="H284" i="20"/>
  <c r="K284" i="20"/>
  <c r="L284" i="20"/>
  <c r="M284" i="20"/>
  <c r="N286" i="20"/>
  <c r="N285" i="20" s="1"/>
  <c r="N294" i="20" s="1"/>
  <c r="K287" i="20"/>
  <c r="L287" i="20"/>
  <c r="M287" i="20"/>
  <c r="K288" i="20"/>
  <c r="L288" i="20"/>
  <c r="M288" i="20"/>
  <c r="D289" i="20"/>
  <c r="D286" i="20" s="1"/>
  <c r="L289" i="20"/>
  <c r="M289" i="20"/>
  <c r="D291" i="20"/>
  <c r="D290" i="20" s="1"/>
  <c r="H290" i="20" s="1"/>
  <c r="L291" i="20"/>
  <c r="M291" i="20"/>
  <c r="K292" i="20"/>
  <c r="L292" i="20"/>
  <c r="M292" i="20"/>
  <c r="H293" i="20"/>
  <c r="K293" i="20"/>
  <c r="L293" i="20"/>
  <c r="M293" i="20"/>
  <c r="F299" i="20"/>
  <c r="G299" i="20"/>
  <c r="G304" i="20"/>
  <c r="K304" i="20"/>
  <c r="L304" i="20"/>
  <c r="H305" i="20"/>
  <c r="M305" i="20"/>
  <c r="N305" i="20"/>
  <c r="H306" i="20"/>
  <c r="M306" i="20"/>
  <c r="N306" i="20"/>
  <c r="H307" i="20"/>
  <c r="M307" i="20"/>
  <c r="N307" i="20"/>
  <c r="G308" i="20"/>
  <c r="K308" i="20"/>
  <c r="L308" i="20"/>
  <c r="H309" i="20"/>
  <c r="M309" i="20"/>
  <c r="N309" i="20"/>
  <c r="H310" i="20"/>
  <c r="M310" i="20"/>
  <c r="N310" i="20"/>
  <c r="H311" i="20"/>
  <c r="M311" i="20"/>
  <c r="N311" i="20"/>
  <c r="G312" i="20"/>
  <c r="G351" i="20" s="1"/>
  <c r="H313" i="20"/>
  <c r="N313" i="20"/>
  <c r="P313" i="20" s="1"/>
  <c r="H314" i="20"/>
  <c r="N314" i="20"/>
  <c r="O314" i="20" s="1"/>
  <c r="H315" i="20"/>
  <c r="K315" i="20"/>
  <c r="O315" i="20" s="1"/>
  <c r="G316" i="20"/>
  <c r="G356" i="20" s="1"/>
  <c r="H317" i="20"/>
  <c r="K317" i="20"/>
  <c r="O317" i="20" s="1"/>
  <c r="G318" i="20"/>
  <c r="H318" i="20" s="1"/>
  <c r="G319" i="20"/>
  <c r="H319" i="20" s="1"/>
  <c r="F320" i="20"/>
  <c r="K324" i="20"/>
  <c r="L324" i="20"/>
  <c r="M324" i="20"/>
  <c r="G326" i="20"/>
  <c r="G327" i="20"/>
  <c r="H327" i="20" s="1"/>
  <c r="H328" i="20"/>
  <c r="N328" i="20"/>
  <c r="G329" i="20"/>
  <c r="N329" i="20" s="1"/>
  <c r="P329" i="20" s="1"/>
  <c r="H329" i="20"/>
  <c r="K331" i="20"/>
  <c r="L331" i="20"/>
  <c r="M331" i="20"/>
  <c r="G341" i="20"/>
  <c r="H341" i="20"/>
  <c r="G349" i="20"/>
  <c r="G373" i="20" s="1"/>
  <c r="H373" i="20" s="1"/>
  <c r="G350" i="20"/>
  <c r="G374" i="20" s="1"/>
  <c r="H374" i="20" s="1"/>
  <c r="G352" i="20"/>
  <c r="G379" i="20" s="1"/>
  <c r="H379" i="20" s="1"/>
  <c r="G353" i="20"/>
  <c r="G380" i="20" s="1"/>
  <c r="H380" i="20" s="1"/>
  <c r="D354" i="20"/>
  <c r="D376" i="20" s="1"/>
  <c r="H376" i="20" s="1"/>
  <c r="D355" i="20"/>
  <c r="D377" i="20" s="1"/>
  <c r="H377" i="20" s="1"/>
  <c r="G357" i="20"/>
  <c r="G383" i="20" s="1"/>
  <c r="H383" i="20" s="1"/>
  <c r="E405" i="20"/>
  <c r="L405" i="20" s="1"/>
  <c r="M290" i="20" l="1"/>
  <c r="O329" i="20"/>
  <c r="O311" i="20"/>
  <c r="K32" i="20"/>
  <c r="O119" i="20"/>
  <c r="O313" i="20"/>
  <c r="H156" i="20"/>
  <c r="O78" i="20"/>
  <c r="L70" i="20"/>
  <c r="O32" i="20"/>
  <c r="K245" i="20"/>
  <c r="O209" i="20"/>
  <c r="H122" i="20"/>
  <c r="O284" i="20"/>
  <c r="O120" i="20"/>
  <c r="M308" i="20"/>
  <c r="P314" i="20"/>
  <c r="O231" i="20"/>
  <c r="F56" i="20"/>
  <c r="H357" i="20"/>
  <c r="H355" i="20"/>
  <c r="D155" i="20"/>
  <c r="H155" i="20" s="1"/>
  <c r="H148" i="20"/>
  <c r="O140" i="20"/>
  <c r="M117" i="20"/>
  <c r="O64" i="20"/>
  <c r="H353" i="20"/>
  <c r="H312" i="20"/>
  <c r="O309" i="20"/>
  <c r="H250" i="20"/>
  <c r="K194" i="20"/>
  <c r="O194" i="20" s="1"/>
  <c r="H190" i="20"/>
  <c r="K170" i="20"/>
  <c r="O170" i="20" s="1"/>
  <c r="H163" i="20"/>
  <c r="K149" i="20"/>
  <c r="O149" i="20" s="1"/>
  <c r="O126" i="20"/>
  <c r="M76" i="20"/>
  <c r="K43" i="20"/>
  <c r="O43" i="20" s="1"/>
  <c r="N318" i="20"/>
  <c r="O270" i="20"/>
  <c r="O267" i="20"/>
  <c r="O264" i="20"/>
  <c r="O237" i="20"/>
  <c r="K183" i="20"/>
  <c r="O183" i="20" s="1"/>
  <c r="O109" i="20"/>
  <c r="L79" i="20"/>
  <c r="L76" i="20" s="1"/>
  <c r="O50" i="20"/>
  <c r="H350" i="20"/>
  <c r="O245" i="20"/>
  <c r="D161" i="20"/>
  <c r="H161" i="20" s="1"/>
  <c r="E56" i="20"/>
  <c r="K178" i="20"/>
  <c r="O178" i="20" s="1"/>
  <c r="K160" i="20"/>
  <c r="O160" i="20" s="1"/>
  <c r="O73" i="20"/>
  <c r="H349" i="20"/>
  <c r="O288" i="20"/>
  <c r="O280" i="20"/>
  <c r="O272" i="20"/>
  <c r="O223" i="20"/>
  <c r="H152" i="20"/>
  <c r="O53" i="20"/>
  <c r="H354" i="20"/>
  <c r="L248" i="20"/>
  <c r="O248" i="20" s="1"/>
  <c r="O135" i="20"/>
  <c r="H356" i="20"/>
  <c r="G381" i="20"/>
  <c r="H381" i="20" s="1"/>
  <c r="G361" i="20"/>
  <c r="K225" i="20"/>
  <c r="N327" i="20"/>
  <c r="O327" i="20" s="1"/>
  <c r="I327" i="20"/>
  <c r="N316" i="20"/>
  <c r="O316" i="20" s="1"/>
  <c r="H316" i="20"/>
  <c r="G320" i="20"/>
  <c r="K291" i="20"/>
  <c r="K290" i="20" s="1"/>
  <c r="M286" i="20"/>
  <c r="M285" i="20" s="1"/>
  <c r="L268" i="20"/>
  <c r="O213" i="20"/>
  <c r="K162" i="20"/>
  <c r="K161" i="20" s="1"/>
  <c r="O161" i="20" s="1"/>
  <c r="H157" i="20"/>
  <c r="H146" i="20"/>
  <c r="M134" i="20"/>
  <c r="O114" i="20"/>
  <c r="L103" i="20"/>
  <c r="O75" i="20"/>
  <c r="M59" i="20"/>
  <c r="O59" i="20" s="1"/>
  <c r="D34" i="20"/>
  <c r="H34" i="20" s="1"/>
  <c r="H39" i="20" s="1"/>
  <c r="M215" i="20"/>
  <c r="H202" i="20"/>
  <c r="H131" i="20"/>
  <c r="O106" i="20"/>
  <c r="O74" i="20"/>
  <c r="O66" i="20"/>
  <c r="O273" i="20"/>
  <c r="L122" i="20"/>
  <c r="O113" i="20"/>
  <c r="H63" i="20"/>
  <c r="M131" i="20"/>
  <c r="H352" i="20"/>
  <c r="H308" i="20"/>
  <c r="K289" i="20"/>
  <c r="O289" i="20" s="1"/>
  <c r="F261" i="20"/>
  <c r="F274" i="20" s="1"/>
  <c r="O263" i="20"/>
  <c r="K182" i="20"/>
  <c r="O182" i="20" s="1"/>
  <c r="H127" i="20"/>
  <c r="H70" i="20"/>
  <c r="O58" i="20"/>
  <c r="O49" i="20"/>
  <c r="H37" i="20"/>
  <c r="O224" i="20"/>
  <c r="O211" i="20"/>
  <c r="M83" i="20"/>
  <c r="D243" i="20"/>
  <c r="L207" i="20"/>
  <c r="O112" i="20"/>
  <c r="O60" i="20"/>
  <c r="O55" i="20"/>
  <c r="O37" i="20"/>
  <c r="P37" i="20"/>
  <c r="N39" i="20"/>
  <c r="N295" i="20" s="1"/>
  <c r="N301" i="20" s="1"/>
  <c r="O52" i="20"/>
  <c r="K51" i="20"/>
  <c r="H351" i="20"/>
  <c r="G378" i="20"/>
  <c r="H378" i="20" s="1"/>
  <c r="N312" i="20"/>
  <c r="O310" i="20"/>
  <c r="O308" i="20" s="1"/>
  <c r="L265" i="20"/>
  <c r="K244" i="20"/>
  <c r="O244" i="20" s="1"/>
  <c r="K236" i="20"/>
  <c r="K240" i="20" s="1"/>
  <c r="D188" i="20"/>
  <c r="H188" i="20" s="1"/>
  <c r="H185" i="20"/>
  <c r="K157" i="20"/>
  <c r="H154" i="20"/>
  <c r="H150" i="20"/>
  <c r="H144" i="20"/>
  <c r="L139" i="20"/>
  <c r="L136" i="20" s="1"/>
  <c r="L130" i="20"/>
  <c r="O130" i="20" s="1"/>
  <c r="M110" i="20"/>
  <c r="K108" i="20"/>
  <c r="M86" i="20"/>
  <c r="M84" i="20" s="1"/>
  <c r="D56" i="20"/>
  <c r="H52" i="20"/>
  <c r="K31" i="20"/>
  <c r="K103" i="20"/>
  <c r="O220" i="20"/>
  <c r="H76" i="20"/>
  <c r="O291" i="20"/>
  <c r="N308" i="20"/>
  <c r="P308" i="20" s="1"/>
  <c r="O307" i="20"/>
  <c r="O293" i="20"/>
  <c r="D268" i="20"/>
  <c r="K200" i="20"/>
  <c r="K199" i="20" s="1"/>
  <c r="O199" i="20" s="1"/>
  <c r="O134" i="20"/>
  <c r="O129" i="20"/>
  <c r="K124" i="20"/>
  <c r="O124" i="20" s="1"/>
  <c r="O117" i="20"/>
  <c r="H116" i="20"/>
  <c r="H110" i="20"/>
  <c r="H103" i="20"/>
  <c r="M87" i="20"/>
  <c r="O61" i="20"/>
  <c r="E51" i="20"/>
  <c r="F136" i="20"/>
  <c r="H136" i="20" s="1"/>
  <c r="O86" i="20"/>
  <c r="O283" i="20"/>
  <c r="O247" i="20"/>
  <c r="O227" i="20"/>
  <c r="O222" i="20"/>
  <c r="K195" i="20"/>
  <c r="O195" i="20" s="1"/>
  <c r="L115" i="20"/>
  <c r="H115" i="20"/>
  <c r="H108" i="20"/>
  <c r="H80" i="20"/>
  <c r="M63" i="20"/>
  <c r="D51" i="20"/>
  <c r="M47" i="20"/>
  <c r="K35" i="20"/>
  <c r="O35" i="20" s="1"/>
  <c r="M281" i="20"/>
  <c r="K255" i="20"/>
  <c r="L215" i="20"/>
  <c r="D143" i="20"/>
  <c r="H143" i="20" s="1"/>
  <c r="K115" i="20"/>
  <c r="L108" i="20"/>
  <c r="O107" i="20"/>
  <c r="L84" i="20"/>
  <c r="O67" i="20"/>
  <c r="H38" i="20"/>
  <c r="O121" i="20"/>
  <c r="D343" i="20"/>
  <c r="D368" i="20" s="1"/>
  <c r="G390" i="20"/>
  <c r="I390" i="20" s="1"/>
  <c r="O269" i="20"/>
  <c r="O292" i="20"/>
  <c r="D199" i="20"/>
  <c r="H199" i="20" s="1"/>
  <c r="O190" i="20"/>
  <c r="D158" i="20"/>
  <c r="H158" i="20" s="1"/>
  <c r="O123" i="20"/>
  <c r="K268" i="20"/>
  <c r="O116" i="20"/>
  <c r="K320" i="20"/>
  <c r="N304" i="20"/>
  <c r="P304" i="20" s="1"/>
  <c r="L320" i="20"/>
  <c r="L281" i="20"/>
  <c r="O271" i="20"/>
  <c r="F243" i="20"/>
  <c r="F242" i="20" s="1"/>
  <c r="F253" i="20" s="1"/>
  <c r="O219" i="20"/>
  <c r="O138" i="20"/>
  <c r="G363" i="20"/>
  <c r="K286" i="20"/>
  <c r="H251" i="20"/>
  <c r="M225" i="20"/>
  <c r="L225" i="20"/>
  <c r="M136" i="20"/>
  <c r="O90" i="20"/>
  <c r="O72" i="20"/>
  <c r="O69" i="20"/>
  <c r="O62" i="20"/>
  <c r="L54" i="20"/>
  <c r="O54" i="20" s="1"/>
  <c r="F47" i="20"/>
  <c r="F41" i="20" s="1"/>
  <c r="D207" i="20"/>
  <c r="H207" i="20" s="1"/>
  <c r="K212" i="20"/>
  <c r="O212" i="20" s="1"/>
  <c r="P328" i="20"/>
  <c r="O328" i="20"/>
  <c r="H246" i="20"/>
  <c r="L246" i="20"/>
  <c r="O246" i="20" s="1"/>
  <c r="E243" i="20"/>
  <c r="E242" i="20" s="1"/>
  <c r="E253" i="20" s="1"/>
  <c r="O306" i="20"/>
  <c r="G348" i="20"/>
  <c r="K281" i="20"/>
  <c r="O279" i="20"/>
  <c r="K277" i="20"/>
  <c r="O260" i="20"/>
  <c r="L249" i="20"/>
  <c r="O249" i="20" s="1"/>
  <c r="H249" i="20"/>
  <c r="D242" i="20"/>
  <c r="K261" i="20"/>
  <c r="O262" i="20"/>
  <c r="G358" i="20"/>
  <c r="N319" i="20"/>
  <c r="M277" i="20"/>
  <c r="M276" i="20" s="1"/>
  <c r="L277" i="20"/>
  <c r="O278" i="20"/>
  <c r="K169" i="20"/>
  <c r="O169" i="20" s="1"/>
  <c r="O287" i="20"/>
  <c r="O286" i="20" s="1"/>
  <c r="L286" i="20"/>
  <c r="H326" i="20"/>
  <c r="N326" i="20"/>
  <c r="G330" i="20"/>
  <c r="G360" i="20"/>
  <c r="G397" i="20"/>
  <c r="H397" i="20" s="1"/>
  <c r="G398" i="20"/>
  <c r="H398" i="20" s="1"/>
  <c r="D276" i="20"/>
  <c r="H277" i="20"/>
  <c r="H276" i="20" s="1"/>
  <c r="M255" i="20"/>
  <c r="O256" i="20"/>
  <c r="M239" i="20"/>
  <c r="M236" i="20" s="1"/>
  <c r="M240" i="20" s="1"/>
  <c r="F236" i="20"/>
  <c r="F240" i="20" s="1"/>
  <c r="E239" i="20"/>
  <c r="O258" i="20"/>
  <c r="O251" i="20"/>
  <c r="K215" i="20"/>
  <c r="O216" i="20"/>
  <c r="D266" i="20"/>
  <c r="K266" i="20" s="1"/>
  <c r="O266" i="20" s="1"/>
  <c r="K175" i="20"/>
  <c r="O175" i="20" s="1"/>
  <c r="H175" i="20"/>
  <c r="L290" i="20"/>
  <c r="M265" i="20"/>
  <c r="M261" i="20" s="1"/>
  <c r="O250" i="20"/>
  <c r="O228" i="20"/>
  <c r="O210" i="20"/>
  <c r="D192" i="20"/>
  <c r="H189" i="20"/>
  <c r="K189" i="20"/>
  <c r="O152" i="20"/>
  <c r="E92" i="20"/>
  <c r="L87" i="20"/>
  <c r="O89" i="20"/>
  <c r="L99" i="20"/>
  <c r="O101" i="20"/>
  <c r="H247" i="20"/>
  <c r="O232" i="20"/>
  <c r="O230" i="20"/>
  <c r="O226" i="20"/>
  <c r="K204" i="20"/>
  <c r="O204" i="20" s="1"/>
  <c r="D173" i="20"/>
  <c r="H173" i="20" s="1"/>
  <c r="H165" i="20"/>
  <c r="M115" i="20"/>
  <c r="O111" i="20"/>
  <c r="K93" i="20"/>
  <c r="O94" i="20"/>
  <c r="O91" i="20"/>
  <c r="M80" i="20"/>
  <c r="O238" i="20"/>
  <c r="O157" i="20"/>
  <c r="K155" i="20"/>
  <c r="O155" i="20" s="1"/>
  <c r="O137" i="20"/>
  <c r="O81" i="20"/>
  <c r="L80" i="20"/>
  <c r="M243" i="20"/>
  <c r="M242" i="20" s="1"/>
  <c r="M253" i="20" s="1"/>
  <c r="O168" i="20"/>
  <c r="K165" i="20"/>
  <c r="M127" i="20"/>
  <c r="M108" i="20"/>
  <c r="O110" i="20"/>
  <c r="K70" i="20"/>
  <c r="O70" i="20" s="1"/>
  <c r="O71" i="20"/>
  <c r="K56" i="20"/>
  <c r="O57" i="20"/>
  <c r="D47" i="20"/>
  <c r="K48" i="20"/>
  <c r="O217" i="20"/>
  <c r="O133" i="20"/>
  <c r="K131" i="20"/>
  <c r="O104" i="20"/>
  <c r="O83" i="20"/>
  <c r="K80" i="20"/>
  <c r="M304" i="20"/>
  <c r="O305" i="20"/>
  <c r="H304" i="20"/>
  <c r="O229" i="20"/>
  <c r="O257" i="20"/>
  <c r="O221" i="20"/>
  <c r="K127" i="20"/>
  <c r="O128" i="20"/>
  <c r="D285" i="20"/>
  <c r="H286" i="20"/>
  <c r="H285" i="20" s="1"/>
  <c r="O282" i="20"/>
  <c r="E261" i="20"/>
  <c r="E255" i="20"/>
  <c r="L259" i="20"/>
  <c r="O233" i="20"/>
  <c r="O208" i="20"/>
  <c r="D177" i="20"/>
  <c r="H177" i="20" s="1"/>
  <c r="H186" i="20"/>
  <c r="K186" i="20"/>
  <c r="O186" i="20" s="1"/>
  <c r="O159" i="20"/>
  <c r="D151" i="20"/>
  <c r="H151" i="20" s="1"/>
  <c r="H153" i="20"/>
  <c r="K153" i="20"/>
  <c r="O153" i="20" s="1"/>
  <c r="K147" i="20"/>
  <c r="H147" i="20"/>
  <c r="K136" i="20"/>
  <c r="L131" i="20"/>
  <c r="O132" i="20"/>
  <c r="M102" i="20"/>
  <c r="O102" i="20" s="1"/>
  <c r="I102" i="20"/>
  <c r="F99" i="20"/>
  <c r="F92" i="20" s="1"/>
  <c r="D92" i="20"/>
  <c r="H87" i="20"/>
  <c r="K84" i="20"/>
  <c r="O85" i="20"/>
  <c r="K63" i="20"/>
  <c r="D225" i="20"/>
  <c r="H225" i="20" s="1"/>
  <c r="O118" i="20"/>
  <c r="K99" i="20"/>
  <c r="O100" i="20"/>
  <c r="K87" i="20"/>
  <c r="O88" i="20"/>
  <c r="O68" i="20"/>
  <c r="L63" i="20"/>
  <c r="O125" i="20"/>
  <c r="O105" i="20"/>
  <c r="H84" i="20"/>
  <c r="O82" i="20"/>
  <c r="O65" i="20"/>
  <c r="O33" i="20"/>
  <c r="D215" i="20"/>
  <c r="H215" i="20" s="1"/>
  <c r="M207" i="20"/>
  <c r="L56" i="20"/>
  <c r="H54" i="20"/>
  <c r="P38" i="20"/>
  <c r="L31" i="20"/>
  <c r="K34" i="20"/>
  <c r="O34" i="20" s="1"/>
  <c r="D255" i="20"/>
  <c r="H170" i="20"/>
  <c r="H159" i="20"/>
  <c r="H145" i="20"/>
  <c r="K76" i="20"/>
  <c r="O77" i="20"/>
  <c r="H53" i="20"/>
  <c r="I50" i="20"/>
  <c r="L47" i="20"/>
  <c r="G39" i="20"/>
  <c r="G295" i="20" s="1"/>
  <c r="G301" i="20" s="1"/>
  <c r="G321" i="20" s="1"/>
  <c r="H390" i="20" l="1"/>
  <c r="O139" i="20"/>
  <c r="O115" i="20"/>
  <c r="K192" i="20"/>
  <c r="O84" i="20"/>
  <c r="M320" i="20"/>
  <c r="K42" i="20"/>
  <c r="O42" i="20" s="1"/>
  <c r="O79" i="20"/>
  <c r="O162" i="20"/>
  <c r="O281" i="20"/>
  <c r="E41" i="20"/>
  <c r="E234" i="20" s="1"/>
  <c r="E401" i="20" s="1"/>
  <c r="H47" i="20"/>
  <c r="K158" i="20"/>
  <c r="O158" i="20" s="1"/>
  <c r="M56" i="20"/>
  <c r="O56" i="20" s="1"/>
  <c r="L243" i="20"/>
  <c r="L242" i="20" s="1"/>
  <c r="L253" i="20" s="1"/>
  <c r="O103" i="20"/>
  <c r="D39" i="20"/>
  <c r="O318" i="20"/>
  <c r="P318" i="20"/>
  <c r="H56" i="20"/>
  <c r="P327" i="20"/>
  <c r="D164" i="20"/>
  <c r="H164" i="20" s="1"/>
  <c r="K39" i="20"/>
  <c r="O265" i="20"/>
  <c r="H92" i="20"/>
  <c r="H243" i="20"/>
  <c r="O268" i="20"/>
  <c r="P316" i="20"/>
  <c r="O108" i="20"/>
  <c r="M294" i="20"/>
  <c r="G388" i="20"/>
  <c r="H388" i="20" s="1"/>
  <c r="H361" i="20"/>
  <c r="H51" i="20"/>
  <c r="O225" i="20"/>
  <c r="H268" i="20"/>
  <c r="D405" i="20"/>
  <c r="O76" i="20"/>
  <c r="O200" i="20"/>
  <c r="N320" i="20"/>
  <c r="N321" i="20" s="1"/>
  <c r="G389" i="20"/>
  <c r="H363" i="20"/>
  <c r="O312" i="20"/>
  <c r="P312" i="20"/>
  <c r="K207" i="20"/>
  <c r="O207" i="20" s="1"/>
  <c r="O304" i="20"/>
  <c r="O131" i="20"/>
  <c r="L127" i="20"/>
  <c r="O127" i="20" s="1"/>
  <c r="L261" i="20"/>
  <c r="O261" i="20" s="1"/>
  <c r="K243" i="20"/>
  <c r="O63" i="20"/>
  <c r="L51" i="20"/>
  <c r="O51" i="20" s="1"/>
  <c r="D261" i="20"/>
  <c r="D274" i="20" s="1"/>
  <c r="K122" i="20"/>
  <c r="O122" i="20" s="1"/>
  <c r="O215" i="20"/>
  <c r="O87" i="20"/>
  <c r="D346" i="20"/>
  <c r="D371" i="20" s="1"/>
  <c r="H371" i="20" s="1"/>
  <c r="K177" i="20"/>
  <c r="O177" i="20" s="1"/>
  <c r="L276" i="20"/>
  <c r="O93" i="20"/>
  <c r="O189" i="20"/>
  <c r="K188" i="20"/>
  <c r="O188" i="20" s="1"/>
  <c r="G362" i="20"/>
  <c r="H362" i="20" s="1"/>
  <c r="H330" i="20"/>
  <c r="O136" i="20"/>
  <c r="E345" i="20"/>
  <c r="E370" i="20" s="1"/>
  <c r="E404" i="20"/>
  <c r="L404" i="20" s="1"/>
  <c r="O80" i="20"/>
  <c r="O48" i="20"/>
  <c r="K47" i="20"/>
  <c r="O47" i="20" s="1"/>
  <c r="H261" i="20"/>
  <c r="D404" i="20"/>
  <c r="E236" i="20"/>
  <c r="L239" i="20"/>
  <c r="H255" i="20"/>
  <c r="D403" i="20"/>
  <c r="D344" i="20"/>
  <c r="D142" i="20"/>
  <c r="L285" i="20"/>
  <c r="O290" i="20"/>
  <c r="O285" i="20" s="1"/>
  <c r="K285" i="20"/>
  <c r="O147" i="20"/>
  <c r="K143" i="20"/>
  <c r="O165" i="20"/>
  <c r="H358" i="20"/>
  <c r="G385" i="20"/>
  <c r="H385" i="20" s="1"/>
  <c r="G375" i="20"/>
  <c r="H348" i="20"/>
  <c r="P319" i="20"/>
  <c r="O319" i="20"/>
  <c r="L39" i="20"/>
  <c r="O31" i="20"/>
  <c r="O39" i="20" s="1"/>
  <c r="D41" i="20"/>
  <c r="D294" i="20"/>
  <c r="H99" i="20"/>
  <c r="O192" i="20"/>
  <c r="K191" i="20"/>
  <c r="O191" i="20" s="1"/>
  <c r="G387" i="20"/>
  <c r="H360" i="20"/>
  <c r="O259" i="20"/>
  <c r="L255" i="20"/>
  <c r="P326" i="20"/>
  <c r="N330" i="20"/>
  <c r="O326" i="20"/>
  <c r="K276" i="20"/>
  <c r="O277" i="20"/>
  <c r="K173" i="20"/>
  <c r="O173" i="20" s="1"/>
  <c r="E274" i="20"/>
  <c r="E403" i="20"/>
  <c r="L403" i="20" s="1"/>
  <c r="E344" i="20"/>
  <c r="E369" i="20" s="1"/>
  <c r="F234" i="20"/>
  <c r="F295" i="20" s="1"/>
  <c r="F301" i="20" s="1"/>
  <c r="F321" i="20" s="1"/>
  <c r="F332" i="20" s="1"/>
  <c r="M99" i="20"/>
  <c r="M92" i="20" s="1"/>
  <c r="H192" i="20"/>
  <c r="D191" i="20"/>
  <c r="H191" i="20" s="1"/>
  <c r="M274" i="20"/>
  <c r="G331" i="20"/>
  <c r="K274" i="20"/>
  <c r="D253" i="20"/>
  <c r="H242" i="20"/>
  <c r="H253" i="20" s="1"/>
  <c r="K151" i="20"/>
  <c r="O151" i="20" s="1"/>
  <c r="O320" i="20" l="1"/>
  <c r="O243" i="20"/>
  <c r="L294" i="20"/>
  <c r="O276" i="20"/>
  <c r="L92" i="20"/>
  <c r="K92" i="20"/>
  <c r="O92" i="20" s="1"/>
  <c r="M41" i="20"/>
  <c r="M234" i="20" s="1"/>
  <c r="M295" i="20" s="1"/>
  <c r="M301" i="20" s="1"/>
  <c r="M321" i="20" s="1"/>
  <c r="M332" i="20" s="1"/>
  <c r="O294" i="20"/>
  <c r="D345" i="20"/>
  <c r="H345" i="20" s="1"/>
  <c r="K242" i="20"/>
  <c r="H141" i="20"/>
  <c r="H346" i="20"/>
  <c r="I389" i="20"/>
  <c r="H389" i="20"/>
  <c r="O99" i="20"/>
  <c r="L41" i="20"/>
  <c r="L234" i="20" s="1"/>
  <c r="H405" i="20"/>
  <c r="K405" i="20"/>
  <c r="O405" i="20" s="1"/>
  <c r="H331" i="20"/>
  <c r="H142" i="20"/>
  <c r="D141" i="20"/>
  <c r="D234" i="20" s="1"/>
  <c r="L274" i="20"/>
  <c r="O255" i="20"/>
  <c r="O274" i="20" s="1"/>
  <c r="E343" i="20"/>
  <c r="E240" i="20"/>
  <c r="E402" i="20" s="1"/>
  <c r="E406" i="20" s="1"/>
  <c r="H236" i="20"/>
  <c r="H240" i="20" s="1"/>
  <c r="O330" i="20"/>
  <c r="P330" i="20"/>
  <c r="D369" i="20"/>
  <c r="H369" i="20" s="1"/>
  <c r="H344" i="20"/>
  <c r="K253" i="20"/>
  <c r="O242" i="20"/>
  <c r="O253" i="20" s="1"/>
  <c r="H41" i="20"/>
  <c r="N331" i="20"/>
  <c r="O331" i="20" s="1"/>
  <c r="H403" i="20"/>
  <c r="K403" i="20"/>
  <c r="O403" i="20" s="1"/>
  <c r="I387" i="20"/>
  <c r="H387" i="20"/>
  <c r="H294" i="20"/>
  <c r="O143" i="20"/>
  <c r="K142" i="20"/>
  <c r="K404" i="20"/>
  <c r="O404" i="20" s="1"/>
  <c r="H404" i="20"/>
  <c r="K164" i="20"/>
  <c r="O164" i="20" s="1"/>
  <c r="F334" i="20"/>
  <c r="F335" i="20" s="1"/>
  <c r="F336" i="20" s="1"/>
  <c r="F337" i="20" s="1"/>
  <c r="F347" i="20"/>
  <c r="L401" i="20"/>
  <c r="H375" i="20"/>
  <c r="H274" i="20"/>
  <c r="K41" i="20"/>
  <c r="K294" i="20"/>
  <c r="L236" i="20"/>
  <c r="O239" i="20"/>
  <c r="D370" i="20" l="1"/>
  <c r="H370" i="20" s="1"/>
  <c r="E295" i="20"/>
  <c r="E297" i="20" s="1"/>
  <c r="E299" i="20" s="1"/>
  <c r="H234" i="20"/>
  <c r="H295" i="20" s="1"/>
  <c r="D401" i="20"/>
  <c r="D295" i="20"/>
  <c r="D297" i="20" s="1"/>
  <c r="E407" i="20"/>
  <c r="L407" i="20" s="1"/>
  <c r="K141" i="20"/>
  <c r="O141" i="20" s="1"/>
  <c r="O142" i="20"/>
  <c r="H343" i="20"/>
  <c r="E368" i="20"/>
  <c r="H368" i="20" s="1"/>
  <c r="F372" i="20"/>
  <c r="F364" i="20"/>
  <c r="H347" i="20"/>
  <c r="L240" i="20"/>
  <c r="L295" i="20" s="1"/>
  <c r="L301" i="20" s="1"/>
  <c r="L321" i="20" s="1"/>
  <c r="L332" i="20" s="1"/>
  <c r="O236" i="20"/>
  <c r="O240" i="20" s="1"/>
  <c r="O41" i="20"/>
  <c r="L402" i="20"/>
  <c r="O402" i="20" s="1"/>
  <c r="H402" i="20"/>
  <c r="M334" i="20"/>
  <c r="M336" i="20" s="1"/>
  <c r="M392" i="20" s="1"/>
  <c r="K234" i="20" l="1"/>
  <c r="O234" i="20" s="1"/>
  <c r="O295" i="20" s="1"/>
  <c r="O301" i="20" s="1"/>
  <c r="O321" i="20" s="1"/>
  <c r="O332" i="20" s="1"/>
  <c r="M393" i="20"/>
  <c r="M394" i="20" s="1"/>
  <c r="M412" i="20" s="1"/>
  <c r="E301" i="20"/>
  <c r="E303" i="20" s="1"/>
  <c r="E338" i="20"/>
  <c r="E396" i="20" s="1"/>
  <c r="E408" i="20"/>
  <c r="D299" i="20"/>
  <c r="H297" i="20"/>
  <c r="H299" i="20" s="1"/>
  <c r="H301" i="20" s="1"/>
  <c r="F391" i="20"/>
  <c r="F392" i="20" s="1"/>
  <c r="F393" i="20" s="1"/>
  <c r="F394" i="20" s="1"/>
  <c r="F412" i="20" s="1"/>
  <c r="H372" i="20"/>
  <c r="D406" i="20"/>
  <c r="H401" i="20"/>
  <c r="K401" i="20"/>
  <c r="L406" i="20"/>
  <c r="L334" i="20" s="1"/>
  <c r="L336" i="20" s="1"/>
  <c r="L392" i="20" s="1"/>
  <c r="K295" i="20" l="1"/>
  <c r="K301" i="20" s="1"/>
  <c r="K321" i="20" s="1"/>
  <c r="L393" i="20"/>
  <c r="L394" i="20" s="1"/>
  <c r="L412" i="20" s="1"/>
  <c r="E320" i="20"/>
  <c r="E321" i="20" s="1"/>
  <c r="E332" i="20" s="1"/>
  <c r="E334" i="20" s="1"/>
  <c r="E335" i="20" s="1"/>
  <c r="E336" i="20" s="1"/>
  <c r="E337" i="20" s="1"/>
  <c r="E342" i="20"/>
  <c r="L408" i="20"/>
  <c r="E409" i="20"/>
  <c r="L409" i="20" s="1"/>
  <c r="D407" i="20"/>
  <c r="D408" i="20" s="1"/>
  <c r="H406" i="20"/>
  <c r="O401" i="20"/>
  <c r="K406" i="20"/>
  <c r="O406" i="20" s="1"/>
  <c r="D301" i="20"/>
  <c r="D303" i="20" s="1"/>
  <c r="D338" i="20"/>
  <c r="K332" i="20" l="1"/>
  <c r="K334" i="20" s="1"/>
  <c r="Q304" i="20"/>
  <c r="H338" i="20"/>
  <c r="D396" i="20"/>
  <c r="H396" i="20" s="1"/>
  <c r="I396" i="20" s="1"/>
  <c r="K408" i="20"/>
  <c r="O408" i="20" s="1"/>
  <c r="H408" i="20"/>
  <c r="D409" i="20"/>
  <c r="D320" i="20"/>
  <c r="H303" i="20"/>
  <c r="D342" i="20"/>
  <c r="E410" i="20"/>
  <c r="L410" i="20" s="1"/>
  <c r="E364" i="20"/>
  <c r="E367" i="20"/>
  <c r="E391" i="20" s="1"/>
  <c r="E392" i="20" s="1"/>
  <c r="E393" i="20" s="1"/>
  <c r="E394" i="20" s="1"/>
  <c r="E412" i="20" s="1"/>
  <c r="H407" i="20"/>
  <c r="K407" i="20"/>
  <c r="O407" i="20" s="1"/>
  <c r="H409" i="20" l="1"/>
  <c r="K409" i="20"/>
  <c r="O409" i="20" s="1"/>
  <c r="D321" i="20"/>
  <c r="D332" i="20" s="1"/>
  <c r="D334" i="20" s="1"/>
  <c r="H320" i="20"/>
  <c r="H321" i="20" s="1"/>
  <c r="G323" i="20" s="1"/>
  <c r="K336" i="20"/>
  <c r="K392" i="20" s="1"/>
  <c r="D410" i="20"/>
  <c r="D367" i="20"/>
  <c r="D364" i="20"/>
  <c r="H342" i="20"/>
  <c r="H367" i="20" l="1"/>
  <c r="D391" i="20"/>
  <c r="D392" i="20" s="1"/>
  <c r="D393" i="20" s="1"/>
  <c r="H410" i="20"/>
  <c r="K410" i="20"/>
  <c r="O410" i="20" s="1"/>
  <c r="D335" i="20"/>
  <c r="D336" i="20" s="1"/>
  <c r="D337" i="20" s="1"/>
  <c r="G324" i="20"/>
  <c r="G332" i="20" s="1"/>
  <c r="G334" i="20" s="1"/>
  <c r="G335" i="20" s="1"/>
  <c r="G336" i="20" s="1"/>
  <c r="G337" i="20" s="1"/>
  <c r="H323" i="20"/>
  <c r="H324" i="20" s="1"/>
  <c r="H332" i="20" s="1"/>
  <c r="N323" i="20"/>
  <c r="G359" i="20"/>
  <c r="K393" i="20"/>
  <c r="D394" i="20" l="1"/>
  <c r="H334" i="20"/>
  <c r="H335" i="20" s="1"/>
  <c r="H336" i="20" s="1"/>
  <c r="H337" i="20" s="1"/>
  <c r="K394" i="20"/>
  <c r="G386" i="20"/>
  <c r="H359" i="20"/>
  <c r="H364" i="20" s="1"/>
  <c r="G364" i="20"/>
  <c r="P323" i="20"/>
  <c r="N324" i="20"/>
  <c r="O323" i="20"/>
  <c r="K412" i="20" l="1"/>
  <c r="I386" i="20"/>
  <c r="I399" i="20" s="1"/>
  <c r="I401" i="20" s="1"/>
  <c r="H386" i="20"/>
  <c r="H391" i="20" s="1"/>
  <c r="H392" i="20" s="1"/>
  <c r="G391" i="20"/>
  <c r="G392" i="20" s="1"/>
  <c r="G393" i="20" s="1"/>
  <c r="O324" i="20"/>
  <c r="N332" i="20"/>
  <c r="D412" i="20"/>
  <c r="N334" i="20" l="1"/>
  <c r="O334" i="20" s="1"/>
  <c r="O336" i="20" s="1"/>
  <c r="G394" i="20"/>
  <c r="H393" i="20"/>
  <c r="G412" i="20" l="1"/>
  <c r="H412" i="20" s="1"/>
  <c r="H394" i="20"/>
  <c r="N336" i="20"/>
  <c r="N392" i="20" s="1"/>
  <c r="N393" i="20" l="1"/>
  <c r="O393" i="20" s="1"/>
  <c r="O392" i="20"/>
  <c r="N394" i="20" l="1"/>
  <c r="N412" i="20" s="1"/>
  <c r="O412" i="20" s="1"/>
  <c r="O413" i="20" l="1"/>
  <c r="O418" i="20"/>
  <c r="O394" i="20"/>
  <c r="F334" i="3" l="1"/>
  <c r="F346" i="3" l="1"/>
  <c r="C347" i="3"/>
  <c r="F347" i="3"/>
  <c r="C346" i="3"/>
  <c r="D36" i="2"/>
  <c r="D35" i="2"/>
  <c r="I36" i="17" l="1"/>
  <c r="I40" i="17"/>
  <c r="I43" i="17"/>
  <c r="I47" i="17"/>
  <c r="I49" i="17"/>
  <c r="I50" i="17"/>
  <c r="I51" i="17"/>
  <c r="I52" i="17"/>
  <c r="I53" i="17"/>
  <c r="I70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8" i="17"/>
  <c r="I92" i="17"/>
  <c r="I95" i="17"/>
  <c r="I99" i="17"/>
  <c r="I101" i="17"/>
  <c r="I102" i="17"/>
  <c r="I103" i="17"/>
  <c r="I104" i="17"/>
  <c r="G19" i="17"/>
  <c r="G81" i="17"/>
  <c r="F81" i="17" s="1"/>
  <c r="F325" i="3"/>
  <c r="D325" i="3"/>
  <c r="F323" i="3"/>
  <c r="D323" i="3"/>
  <c r="F317" i="3"/>
  <c r="F320" i="3" s="1"/>
  <c r="F326" i="3" l="1"/>
  <c r="F327" i="3"/>
  <c r="C327" i="3"/>
  <c r="C326" i="3"/>
  <c r="F321" i="3"/>
  <c r="D316" i="17"/>
  <c r="D318" i="17"/>
  <c r="C319" i="17"/>
  <c r="D334" i="17"/>
  <c r="D336" i="17"/>
  <c r="D338" i="17"/>
  <c r="F335" i="3"/>
  <c r="F338" i="3" s="1"/>
  <c r="F339" i="3" l="1"/>
  <c r="C348" i="3"/>
  <c r="F348" i="3"/>
  <c r="F328" i="3"/>
  <c r="C328" i="3"/>
  <c r="C339" i="17"/>
  <c r="C340" i="17"/>
  <c r="I14" i="3" l="1"/>
  <c r="I13" i="3"/>
  <c r="C341" i="17"/>
  <c r="I72" i="3" l="1"/>
  <c r="I47" i="3"/>
  <c r="I69" i="3"/>
  <c r="I41" i="3"/>
  <c r="I61" i="3"/>
  <c r="I32" i="3"/>
  <c r="I76" i="3"/>
  <c r="I48" i="3"/>
  <c r="I20" i="3"/>
  <c r="I60" i="3"/>
  <c r="I55" i="3"/>
  <c r="I54" i="3"/>
  <c r="I27" i="3"/>
  <c r="I24" i="3"/>
  <c r="I36" i="3"/>
  <c r="I23" i="3"/>
  <c r="I65" i="3"/>
  <c r="I296" i="3"/>
  <c r="I285" i="3"/>
  <c r="I274" i="3"/>
  <c r="I265" i="3"/>
  <c r="I255" i="3"/>
  <c r="I247" i="3"/>
  <c r="I239" i="3"/>
  <c r="I230" i="3"/>
  <c r="I220" i="3"/>
  <c r="I211" i="3"/>
  <c r="I203" i="3"/>
  <c r="I195" i="3"/>
  <c r="I187" i="3"/>
  <c r="I179" i="3"/>
  <c r="I171" i="3"/>
  <c r="I163" i="3"/>
  <c r="I155" i="3"/>
  <c r="I147" i="3"/>
  <c r="I139" i="3"/>
  <c r="I131" i="3"/>
  <c r="I122" i="3"/>
  <c r="I114" i="3"/>
  <c r="I106" i="3"/>
  <c r="I98" i="3"/>
  <c r="I90" i="3"/>
  <c r="I81" i="3"/>
  <c r="I64" i="3"/>
  <c r="I56" i="3"/>
  <c r="I40" i="3"/>
  <c r="I31" i="3"/>
  <c r="I21" i="3"/>
  <c r="I282" i="3"/>
  <c r="I262" i="3"/>
  <c r="I235" i="3"/>
  <c r="I216" i="3"/>
  <c r="I200" i="3"/>
  <c r="I184" i="3"/>
  <c r="I168" i="3"/>
  <c r="I152" i="3"/>
  <c r="I136" i="3"/>
  <c r="I111" i="3"/>
  <c r="I95" i="3"/>
  <c r="I78" i="3"/>
  <c r="I45" i="3"/>
  <c r="I18" i="3"/>
  <c r="I249" i="3"/>
  <c r="I181" i="3"/>
  <c r="I157" i="3"/>
  <c r="I133" i="3"/>
  <c r="I100" i="3"/>
  <c r="I66" i="3"/>
  <c r="I42" i="3"/>
  <c r="I295" i="3"/>
  <c r="I284" i="3"/>
  <c r="I273" i="3"/>
  <c r="I264" i="3"/>
  <c r="I254" i="3"/>
  <c r="I246" i="3"/>
  <c r="I238" i="3"/>
  <c r="I229" i="3"/>
  <c r="I218" i="3"/>
  <c r="I210" i="3"/>
  <c r="I202" i="3"/>
  <c r="I194" i="3"/>
  <c r="I186" i="3"/>
  <c r="I178" i="3"/>
  <c r="I170" i="3"/>
  <c r="I162" i="3"/>
  <c r="I154" i="3"/>
  <c r="I146" i="3"/>
  <c r="I138" i="3"/>
  <c r="I130" i="3"/>
  <c r="I121" i="3"/>
  <c r="I113" i="3"/>
  <c r="I105" i="3"/>
  <c r="I97" i="3"/>
  <c r="I89" i="3"/>
  <c r="I80" i="3"/>
  <c r="I71" i="3"/>
  <c r="I63" i="3"/>
  <c r="I39" i="3"/>
  <c r="I30" i="3"/>
  <c r="I294" i="3"/>
  <c r="I283" i="3"/>
  <c r="I272" i="3"/>
  <c r="I263" i="3"/>
  <c r="I253" i="3"/>
  <c r="I245" i="3"/>
  <c r="I237" i="3"/>
  <c r="I228" i="3"/>
  <c r="I217" i="3"/>
  <c r="I209" i="3"/>
  <c r="I201" i="3"/>
  <c r="I193" i="3"/>
  <c r="I185" i="3"/>
  <c r="I177" i="3"/>
  <c r="I169" i="3"/>
  <c r="I161" i="3"/>
  <c r="I153" i="3"/>
  <c r="I145" i="3"/>
  <c r="I137" i="3"/>
  <c r="I129" i="3"/>
  <c r="I120" i="3"/>
  <c r="I112" i="3"/>
  <c r="I104" i="3"/>
  <c r="I96" i="3"/>
  <c r="I88" i="3"/>
  <c r="I79" i="3"/>
  <c r="I70" i="3"/>
  <c r="I62" i="3"/>
  <c r="I46" i="3"/>
  <c r="I38" i="3"/>
  <c r="I29" i="3"/>
  <c r="I19" i="3"/>
  <c r="I293" i="3"/>
  <c r="I271" i="3"/>
  <c r="I252" i="3"/>
  <c r="I244" i="3"/>
  <c r="I227" i="3"/>
  <c r="I208" i="3"/>
  <c r="I192" i="3"/>
  <c r="I176" i="3"/>
  <c r="I160" i="3"/>
  <c r="I144" i="3"/>
  <c r="I128" i="3"/>
  <c r="I103" i="3"/>
  <c r="I86" i="3"/>
  <c r="I53" i="3"/>
  <c r="I28" i="3"/>
  <c r="I291" i="3"/>
  <c r="I281" i="3"/>
  <c r="I270" i="3"/>
  <c r="I261" i="3"/>
  <c r="I251" i="3"/>
  <c r="I243" i="3"/>
  <c r="I234" i="3"/>
  <c r="I226" i="3"/>
  <c r="I215" i="3"/>
  <c r="I207" i="3"/>
  <c r="I199" i="3"/>
  <c r="I191" i="3"/>
  <c r="I183" i="3"/>
  <c r="I175" i="3"/>
  <c r="I167" i="3"/>
  <c r="I159" i="3"/>
  <c r="I151" i="3"/>
  <c r="I143" i="3"/>
  <c r="I135" i="3"/>
  <c r="I127" i="3"/>
  <c r="I118" i="3"/>
  <c r="I110" i="3"/>
  <c r="I102" i="3"/>
  <c r="I94" i="3"/>
  <c r="I85" i="3"/>
  <c r="I68" i="3"/>
  <c r="I52" i="3"/>
  <c r="I44" i="3"/>
  <c r="I17" i="3"/>
  <c r="I268" i="3"/>
  <c r="I241" i="3"/>
  <c r="I213" i="3"/>
  <c r="I189" i="3"/>
  <c r="I165" i="3"/>
  <c r="I141" i="3"/>
  <c r="I108" i="3"/>
  <c r="I83" i="3"/>
  <c r="I50" i="3"/>
  <c r="I290" i="3"/>
  <c r="I279" i="3"/>
  <c r="I269" i="3"/>
  <c r="I260" i="3"/>
  <c r="I250" i="3"/>
  <c r="I242" i="3"/>
  <c r="I233" i="3"/>
  <c r="I223" i="3"/>
  <c r="I214" i="3"/>
  <c r="I206" i="3"/>
  <c r="I198" i="3"/>
  <c r="I190" i="3"/>
  <c r="I182" i="3"/>
  <c r="I174" i="3"/>
  <c r="I166" i="3"/>
  <c r="I158" i="3"/>
  <c r="I150" i="3"/>
  <c r="I142" i="3"/>
  <c r="I134" i="3"/>
  <c r="I125" i="3"/>
  <c r="I117" i="3"/>
  <c r="I109" i="3"/>
  <c r="I101" i="3"/>
  <c r="I93" i="3"/>
  <c r="I84" i="3"/>
  <c r="I75" i="3"/>
  <c r="I67" i="3"/>
  <c r="I59" i="3"/>
  <c r="I51" i="3"/>
  <c r="I43" i="3"/>
  <c r="I34" i="3"/>
  <c r="I289" i="3"/>
  <c r="I276" i="3"/>
  <c r="I259" i="3"/>
  <c r="I232" i="3"/>
  <c r="I222" i="3"/>
  <c r="I205" i="3"/>
  <c r="I173" i="3"/>
  <c r="I149" i="3"/>
  <c r="I116" i="3"/>
  <c r="I92" i="3"/>
  <c r="I58" i="3"/>
  <c r="I33" i="3"/>
  <c r="I286" i="3"/>
  <c r="I275" i="3"/>
  <c r="I267" i="3"/>
  <c r="I258" i="3"/>
  <c r="I248" i="3"/>
  <c r="I240" i="3"/>
  <c r="I231" i="3"/>
  <c r="I221" i="3"/>
  <c r="I212" i="3"/>
  <c r="I204" i="3"/>
  <c r="I196" i="3"/>
  <c r="I188" i="3"/>
  <c r="I180" i="3"/>
  <c r="I172" i="3"/>
  <c r="I164" i="3"/>
  <c r="I156" i="3"/>
  <c r="I148" i="3"/>
  <c r="I140" i="3"/>
  <c r="I132" i="3"/>
  <c r="I123" i="3"/>
  <c r="I115" i="3"/>
  <c r="I107" i="3"/>
  <c r="I99" i="3"/>
  <c r="I91" i="3"/>
  <c r="I82" i="3"/>
  <c r="I73" i="3"/>
  <c r="I57" i="3"/>
  <c r="I49" i="3"/>
  <c r="I22" i="3"/>
  <c r="I119" i="3"/>
  <c r="I37" i="3"/>
  <c r="I197" i="3"/>
  <c r="I124" i="3"/>
  <c r="I74" i="3"/>
  <c r="F280" i="3" l="1"/>
  <c r="H280" i="3" s="1"/>
  <c r="J280" i="3" l="1"/>
  <c r="K280" i="3" s="1"/>
  <c r="G274" i="17" s="1"/>
  <c r="F274" i="17" s="1"/>
  <c r="G306" i="3" l="1"/>
  <c r="G303" i="3" s="1"/>
  <c r="G279" i="3" l="1"/>
  <c r="G286" i="3"/>
  <c r="G274" i="3"/>
  <c r="G265" i="3"/>
  <c r="G255" i="3"/>
  <c r="G247" i="3"/>
  <c r="G239" i="3"/>
  <c r="G230" i="3"/>
  <c r="G221" i="3"/>
  <c r="G212" i="3"/>
  <c r="G204" i="3"/>
  <c r="G196" i="3"/>
  <c r="G188" i="3"/>
  <c r="G180" i="3"/>
  <c r="G172" i="3"/>
  <c r="G164" i="3"/>
  <c r="G156" i="3"/>
  <c r="G148" i="3"/>
  <c r="G140" i="3"/>
  <c r="G132" i="3"/>
  <c r="G123" i="3"/>
  <c r="G115" i="3"/>
  <c r="G107" i="3"/>
  <c r="G99" i="3"/>
  <c r="G91" i="3"/>
  <c r="G83" i="3"/>
  <c r="G74" i="3"/>
  <c r="G66" i="3"/>
  <c r="G58" i="3"/>
  <c r="G50" i="3"/>
  <c r="G42" i="3"/>
  <c r="G33" i="3"/>
  <c r="G24" i="3"/>
  <c r="G14" i="3"/>
  <c r="G28" i="3"/>
  <c r="G275" i="3"/>
  <c r="G197" i="3"/>
  <c r="G141" i="3"/>
  <c r="G100" i="3"/>
  <c r="G34" i="3"/>
  <c r="G296" i="3"/>
  <c r="G285" i="3"/>
  <c r="G273" i="3"/>
  <c r="G264" i="3"/>
  <c r="G254" i="3"/>
  <c r="G246" i="3"/>
  <c r="G238" i="3"/>
  <c r="G229" i="3"/>
  <c r="G220" i="3"/>
  <c r="G211" i="3"/>
  <c r="G203" i="3"/>
  <c r="G195" i="3"/>
  <c r="G187" i="3"/>
  <c r="G179" i="3"/>
  <c r="G171" i="3"/>
  <c r="G163" i="3"/>
  <c r="G155" i="3"/>
  <c r="G147" i="3"/>
  <c r="G139" i="3"/>
  <c r="G131" i="3"/>
  <c r="G122" i="3"/>
  <c r="G114" i="3"/>
  <c r="G106" i="3"/>
  <c r="G98" i="3"/>
  <c r="G90" i="3"/>
  <c r="G82" i="3"/>
  <c r="G73" i="3"/>
  <c r="G65" i="3"/>
  <c r="G57" i="3"/>
  <c r="G49" i="3"/>
  <c r="G41" i="3"/>
  <c r="G32" i="3"/>
  <c r="G23" i="3"/>
  <c r="G13" i="3"/>
  <c r="G45" i="3"/>
  <c r="G267" i="3"/>
  <c r="G189" i="3"/>
  <c r="G149" i="3"/>
  <c r="G108" i="3"/>
  <c r="G67" i="3"/>
  <c r="G295" i="3"/>
  <c r="G284" i="3"/>
  <c r="G272" i="3"/>
  <c r="G263" i="3"/>
  <c r="G253" i="3"/>
  <c r="G245" i="3"/>
  <c r="G237" i="3"/>
  <c r="G228" i="3"/>
  <c r="G218" i="3"/>
  <c r="G210" i="3"/>
  <c r="G202" i="3"/>
  <c r="G194" i="3"/>
  <c r="G186" i="3"/>
  <c r="G178" i="3"/>
  <c r="G170" i="3"/>
  <c r="G162" i="3"/>
  <c r="G154" i="3"/>
  <c r="G146" i="3"/>
  <c r="G138" i="3"/>
  <c r="G130" i="3"/>
  <c r="G121" i="3"/>
  <c r="G113" i="3"/>
  <c r="G105" i="3"/>
  <c r="G97" i="3"/>
  <c r="G89" i="3"/>
  <c r="G81" i="3"/>
  <c r="G72" i="3"/>
  <c r="G64" i="3"/>
  <c r="G56" i="3"/>
  <c r="G48" i="3"/>
  <c r="G40" i="3"/>
  <c r="G31" i="3"/>
  <c r="G22" i="3"/>
  <c r="G37" i="3"/>
  <c r="G258" i="3"/>
  <c r="G213" i="3"/>
  <c r="G181" i="3"/>
  <c r="G133" i="3"/>
  <c r="G92" i="3"/>
  <c r="G51" i="3"/>
  <c r="G294" i="3"/>
  <c r="G283" i="3"/>
  <c r="G271" i="3"/>
  <c r="G262" i="3"/>
  <c r="G252" i="3"/>
  <c r="G244" i="3"/>
  <c r="G235" i="3"/>
  <c r="G227" i="3"/>
  <c r="G217" i="3"/>
  <c r="G209" i="3"/>
  <c r="G201" i="3"/>
  <c r="G193" i="3"/>
  <c r="G185" i="3"/>
  <c r="G177" i="3"/>
  <c r="G169" i="3"/>
  <c r="G161" i="3"/>
  <c r="G153" i="3"/>
  <c r="G145" i="3"/>
  <c r="G137" i="3"/>
  <c r="G129" i="3"/>
  <c r="G120" i="3"/>
  <c r="G112" i="3"/>
  <c r="G104" i="3"/>
  <c r="G96" i="3"/>
  <c r="G88" i="3"/>
  <c r="G80" i="3"/>
  <c r="G71" i="3"/>
  <c r="G63" i="3"/>
  <c r="G55" i="3"/>
  <c r="G47" i="3"/>
  <c r="G39" i="3"/>
  <c r="G30" i="3"/>
  <c r="G21" i="3"/>
  <c r="G157" i="3"/>
  <c r="G59" i="3"/>
  <c r="G293" i="3"/>
  <c r="G282" i="3"/>
  <c r="G270" i="3"/>
  <c r="G261" i="3"/>
  <c r="G251" i="3"/>
  <c r="G243" i="3"/>
  <c r="G234" i="3"/>
  <c r="G226" i="3"/>
  <c r="G216" i="3"/>
  <c r="G208" i="3"/>
  <c r="G200" i="3"/>
  <c r="G192" i="3"/>
  <c r="G184" i="3"/>
  <c r="G176" i="3"/>
  <c r="G168" i="3"/>
  <c r="G160" i="3"/>
  <c r="G152" i="3"/>
  <c r="G144" i="3"/>
  <c r="G136" i="3"/>
  <c r="G128" i="3"/>
  <c r="G119" i="3"/>
  <c r="G111" i="3"/>
  <c r="G103" i="3"/>
  <c r="G95" i="3"/>
  <c r="G79" i="3"/>
  <c r="G70" i="3"/>
  <c r="G62" i="3"/>
  <c r="G54" i="3"/>
  <c r="G46" i="3"/>
  <c r="G38" i="3"/>
  <c r="G29" i="3"/>
  <c r="G20" i="3"/>
  <c r="G173" i="3"/>
  <c r="G75" i="3"/>
  <c r="G17" i="3"/>
  <c r="G291" i="3"/>
  <c r="G281" i="3"/>
  <c r="G269" i="3"/>
  <c r="G260" i="3"/>
  <c r="G250" i="3"/>
  <c r="G242" i="3"/>
  <c r="G233" i="3"/>
  <c r="G224" i="3"/>
  <c r="G215" i="3"/>
  <c r="G207" i="3"/>
  <c r="G199" i="3"/>
  <c r="G191" i="3"/>
  <c r="G183" i="3"/>
  <c r="G175" i="3"/>
  <c r="G167" i="3"/>
  <c r="G159" i="3"/>
  <c r="G151" i="3"/>
  <c r="G143" i="3"/>
  <c r="G135" i="3"/>
  <c r="G127" i="3"/>
  <c r="G118" i="3"/>
  <c r="G110" i="3"/>
  <c r="G102" i="3"/>
  <c r="G94" i="3"/>
  <c r="G86" i="3"/>
  <c r="G78" i="3"/>
  <c r="G69" i="3"/>
  <c r="G61" i="3"/>
  <c r="G53" i="3"/>
  <c r="G19" i="3"/>
  <c r="G222" i="3"/>
  <c r="G116" i="3"/>
  <c r="G43" i="3"/>
  <c r="G290" i="3"/>
  <c r="G276" i="3"/>
  <c r="G268" i="3"/>
  <c r="G259" i="3"/>
  <c r="G249" i="3"/>
  <c r="G241" i="3"/>
  <c r="G232" i="3"/>
  <c r="G223" i="3"/>
  <c r="G214" i="3"/>
  <c r="G206" i="3"/>
  <c r="G198" i="3"/>
  <c r="G190" i="3"/>
  <c r="G182" i="3"/>
  <c r="G174" i="3"/>
  <c r="G166" i="3"/>
  <c r="G158" i="3"/>
  <c r="G150" i="3"/>
  <c r="G142" i="3"/>
  <c r="G134" i="3"/>
  <c r="G125" i="3"/>
  <c r="G117" i="3"/>
  <c r="G109" i="3"/>
  <c r="G101" i="3"/>
  <c r="G93" i="3"/>
  <c r="G85" i="3"/>
  <c r="G76" i="3"/>
  <c r="G68" i="3"/>
  <c r="G60" i="3"/>
  <c r="G52" i="3"/>
  <c r="G44" i="3"/>
  <c r="G36" i="3"/>
  <c r="G27" i="3"/>
  <c r="G18" i="3"/>
  <c r="G289" i="3"/>
  <c r="G248" i="3"/>
  <c r="G240" i="3"/>
  <c r="G231" i="3"/>
  <c r="G205" i="3"/>
  <c r="G165" i="3"/>
  <c r="G124" i="3"/>
  <c r="G84" i="3"/>
  <c r="F277" i="3" l="1"/>
  <c r="F276" i="3"/>
  <c r="H276" i="3" s="1"/>
  <c r="J276" i="3" s="1"/>
  <c r="M334" i="2"/>
  <c r="L334" i="2"/>
  <c r="N314" i="2"/>
  <c r="N313" i="2"/>
  <c r="F279" i="3" l="1"/>
  <c r="H279" i="3" s="1"/>
  <c r="K276" i="3"/>
  <c r="G270" i="17" s="1"/>
  <c r="F270" i="17" s="1"/>
  <c r="H277" i="3" l="1"/>
  <c r="J279" i="3"/>
  <c r="J277" i="3" s="1"/>
  <c r="K279" i="3" l="1"/>
  <c r="M279" i="3" s="1"/>
  <c r="E122" i="2"/>
  <c r="H104" i="2"/>
  <c r="H105" i="2"/>
  <c r="H106" i="2"/>
  <c r="H109" i="2"/>
  <c r="H111" i="2"/>
  <c r="H112" i="2"/>
  <c r="H118" i="2"/>
  <c r="H119" i="2"/>
  <c r="E115" i="2"/>
  <c r="E108" i="2"/>
  <c r="D108" i="2"/>
  <c r="E103" i="2"/>
  <c r="D103" i="2"/>
  <c r="D93" i="2"/>
  <c r="E70" i="2"/>
  <c r="D70" i="2"/>
  <c r="E63" i="2"/>
  <c r="F63" i="2"/>
  <c r="D63" i="2"/>
  <c r="D247" i="2"/>
  <c r="E247" i="2"/>
  <c r="E249" i="2"/>
  <c r="L249" i="2" s="1"/>
  <c r="E251" i="2"/>
  <c r="E250" i="2"/>
  <c r="D250" i="2"/>
  <c r="D251" i="2"/>
  <c r="E246" i="2"/>
  <c r="D246" i="2"/>
  <c r="F249" i="2"/>
  <c r="F250" i="2"/>
  <c r="F251" i="2"/>
  <c r="K277" i="3" l="1"/>
  <c r="G273" i="17"/>
  <c r="F273" i="17" s="1"/>
  <c r="F243" i="2"/>
  <c r="H251" i="2"/>
  <c r="H249" i="2"/>
  <c r="H247" i="2"/>
  <c r="H246" i="2"/>
  <c r="H250" i="2"/>
  <c r="G271" i="17" l="1"/>
  <c r="F271" i="17" s="1"/>
  <c r="N277" i="3"/>
  <c r="O277" i="3" s="1"/>
  <c r="E248" i="2"/>
  <c r="D245" i="2"/>
  <c r="H245" i="2" s="1"/>
  <c r="D244" i="2"/>
  <c r="H144" i="2"/>
  <c r="H145" i="2"/>
  <c r="H146" i="2"/>
  <c r="H148" i="2"/>
  <c r="H149" i="2"/>
  <c r="H152" i="2"/>
  <c r="H153" i="2"/>
  <c r="H154" i="2"/>
  <c r="H179" i="2"/>
  <c r="H180" i="2"/>
  <c r="H181" i="2"/>
  <c r="H184" i="2"/>
  <c r="H174" i="2"/>
  <c r="H171" i="2"/>
  <c r="D204" i="2"/>
  <c r="H205" i="2"/>
  <c r="K205" i="2"/>
  <c r="H200" i="2"/>
  <c r="H201" i="2"/>
  <c r="H203" i="2"/>
  <c r="H196" i="2"/>
  <c r="H197" i="2"/>
  <c r="H198" i="2"/>
  <c r="D195" i="2"/>
  <c r="M190" i="2"/>
  <c r="L190" i="2"/>
  <c r="D165" i="2"/>
  <c r="D151" i="2"/>
  <c r="H151" i="2" s="1"/>
  <c r="H206" i="2"/>
  <c r="H187" i="2"/>
  <c r="H176" i="2"/>
  <c r="H172" i="2"/>
  <c r="H168" i="2"/>
  <c r="O205" i="2" l="1"/>
  <c r="F190" i="3" s="1"/>
  <c r="H190" i="3" s="1"/>
  <c r="J190" i="3" s="1"/>
  <c r="H248" i="2"/>
  <c r="E243" i="2"/>
  <c r="D243" i="2"/>
  <c r="H244" i="2"/>
  <c r="B29" i="10" l="1"/>
  <c r="B28" i="10"/>
  <c r="B27" i="10"/>
  <c r="B26" i="10"/>
  <c r="B25" i="10"/>
  <c r="B24" i="10"/>
  <c r="D157" i="2" l="1"/>
  <c r="D156" i="2"/>
  <c r="D159" i="2"/>
  <c r="D160" i="2"/>
  <c r="D163" i="2"/>
  <c r="H163" i="2" s="1"/>
  <c r="D162" i="2"/>
  <c r="D189" i="2"/>
  <c r="D190" i="2"/>
  <c r="D194" i="2"/>
  <c r="D193" i="2"/>
  <c r="H190" i="2" l="1"/>
  <c r="K190" i="2"/>
  <c r="O190" i="2" s="1"/>
  <c r="F175" i="3" s="1"/>
  <c r="H189" i="2"/>
  <c r="D188" i="2"/>
  <c r="H188" i="2" s="1"/>
  <c r="K189" i="2"/>
  <c r="K162" i="2"/>
  <c r="O162" i="2" s="1"/>
  <c r="F147" i="3" s="1"/>
  <c r="H162" i="2"/>
  <c r="D161" i="2"/>
  <c r="H161" i="2" s="1"/>
  <c r="K160" i="2"/>
  <c r="O160" i="2" s="1"/>
  <c r="F145" i="3" s="1"/>
  <c r="H160" i="2"/>
  <c r="K159" i="2"/>
  <c r="H159" i="2"/>
  <c r="D158" i="2"/>
  <c r="H158" i="2" s="1"/>
  <c r="K156" i="2"/>
  <c r="H156" i="2"/>
  <c r="D155" i="2"/>
  <c r="H155" i="2" s="1"/>
  <c r="H193" i="2"/>
  <c r="D192" i="2"/>
  <c r="H192" i="2" s="1"/>
  <c r="K193" i="2"/>
  <c r="H194" i="2"/>
  <c r="K194" i="2"/>
  <c r="O194" i="2" s="1"/>
  <c r="F179" i="3" s="1"/>
  <c r="H157" i="2"/>
  <c r="K157" i="2"/>
  <c r="O157" i="2" s="1"/>
  <c r="F142" i="3" s="1"/>
  <c r="O156" i="2" l="1"/>
  <c r="F141" i="3" s="1"/>
  <c r="F140" i="3" s="1"/>
  <c r="H140" i="3" s="1"/>
  <c r="K155" i="2"/>
  <c r="O189" i="2"/>
  <c r="F174" i="3" s="1"/>
  <c r="F173" i="3" s="1"/>
  <c r="H173" i="3" s="1"/>
  <c r="K188" i="2"/>
  <c r="H147" i="3"/>
  <c r="O193" i="2"/>
  <c r="F178" i="3" s="1"/>
  <c r="F177" i="3" s="1"/>
  <c r="H177" i="3" s="1"/>
  <c r="K192" i="2"/>
  <c r="O159" i="2"/>
  <c r="F144" i="3" s="1"/>
  <c r="F143" i="3" s="1"/>
  <c r="H143" i="3" s="1"/>
  <c r="K158" i="2"/>
  <c r="H179" i="3"/>
  <c r="H145" i="3"/>
  <c r="H142" i="3"/>
  <c r="H175" i="3"/>
  <c r="M15" i="8"/>
  <c r="N15" i="8" s="1"/>
  <c r="B3" i="8"/>
  <c r="J14" i="8"/>
  <c r="H14" i="8"/>
  <c r="F14" i="8"/>
  <c r="J13" i="8"/>
  <c r="H13" i="8"/>
  <c r="F13" i="8"/>
  <c r="J12" i="8"/>
  <c r="I12" i="8"/>
  <c r="H12" i="8"/>
  <c r="G12" i="8"/>
  <c r="F12" i="8"/>
  <c r="C4" i="7"/>
  <c r="L292" i="3"/>
  <c r="L288" i="3"/>
  <c r="J140" i="3" l="1"/>
  <c r="K140" i="3" s="1"/>
  <c r="G134" i="17" s="1"/>
  <c r="F134" i="17" s="1"/>
  <c r="J143" i="3"/>
  <c r="K143" i="3" s="1"/>
  <c r="G137" i="17" s="1"/>
  <c r="F137" i="17" s="1"/>
  <c r="J177" i="3"/>
  <c r="K177" i="3" s="1"/>
  <c r="G171" i="17" s="1"/>
  <c r="F171" i="17" s="1"/>
  <c r="J173" i="3"/>
  <c r="K173" i="3" s="1"/>
  <c r="G167" i="17" s="1"/>
  <c r="F167" i="17" s="1"/>
  <c r="H174" i="3"/>
  <c r="J174" i="3" s="1"/>
  <c r="K174" i="3" s="1"/>
  <c r="G168" i="17" s="1"/>
  <c r="F168" i="17" s="1"/>
  <c r="H141" i="3"/>
  <c r="J141" i="3" s="1"/>
  <c r="H144" i="3"/>
  <c r="H178" i="3"/>
  <c r="J179" i="3"/>
  <c r="K179" i="3" s="1"/>
  <c r="G173" i="17" s="1"/>
  <c r="F173" i="17" s="1"/>
  <c r="K190" i="3"/>
  <c r="G184" i="17" s="1"/>
  <c r="F184" i="17" s="1"/>
  <c r="J175" i="3"/>
  <c r="J142" i="3"/>
  <c r="K142" i="3" s="1"/>
  <c r="G136" i="17" s="1"/>
  <c r="F136" i="17" s="1"/>
  <c r="J145" i="3"/>
  <c r="K145" i="3" s="1"/>
  <c r="G139" i="17" s="1"/>
  <c r="F139" i="17" s="1"/>
  <c r="J147" i="3"/>
  <c r="F16" i="8"/>
  <c r="H16" i="8"/>
  <c r="J16" i="8"/>
  <c r="J144" i="3" l="1"/>
  <c r="K144" i="3" s="1"/>
  <c r="G138" i="17" s="1"/>
  <c r="F138" i="17" s="1"/>
  <c r="J178" i="3"/>
  <c r="K178" i="3"/>
  <c r="G172" i="17" s="1"/>
  <c r="F172" i="17" s="1"/>
  <c r="K141" i="3"/>
  <c r="G135" i="17" s="1"/>
  <c r="F135" i="17" s="1"/>
  <c r="K147" i="3"/>
  <c r="G141" i="17" s="1"/>
  <c r="F141" i="17" s="1"/>
  <c r="K175" i="3"/>
  <c r="G169" i="17" s="1"/>
  <c r="F169" i="17" s="1"/>
  <c r="F50" i="2" l="1"/>
  <c r="M50" i="2" s="1"/>
  <c r="F102" i="2"/>
  <c r="M102" i="2" s="1"/>
  <c r="G329" i="2"/>
  <c r="G327" i="2"/>
  <c r="G326" i="2"/>
  <c r="E405" i="2" l="1"/>
  <c r="L405" i="2" s="1"/>
  <c r="L331" i="2" l="1"/>
  <c r="M331" i="2"/>
  <c r="K331" i="2"/>
  <c r="N329" i="2"/>
  <c r="N327" i="2"/>
  <c r="N326" i="2"/>
  <c r="L324" i="2"/>
  <c r="M324" i="2"/>
  <c r="K324" i="2"/>
  <c r="I327" i="2"/>
  <c r="I50" i="2"/>
  <c r="F320" i="2"/>
  <c r="O329" i="2" l="1"/>
  <c r="P329" i="2"/>
  <c r="O327" i="2"/>
  <c r="P327" i="2"/>
  <c r="O326" i="2"/>
  <c r="P326" i="2"/>
  <c r="N330" i="2"/>
  <c r="O330" i="2" l="1"/>
  <c r="P330" i="2"/>
  <c r="N276" i="2"/>
  <c r="N286" i="2"/>
  <c r="N285" i="2" s="1"/>
  <c r="N274" i="2"/>
  <c r="N32" i="1" l="1"/>
  <c r="Q38" i="1"/>
  <c r="N49" i="1"/>
  <c r="P38" i="1"/>
  <c r="N31" i="1"/>
  <c r="P31" i="1"/>
  <c r="K66" i="1"/>
  <c r="K71" i="1" s="1"/>
  <c r="J66" i="1"/>
  <c r="J71" i="1" s="1"/>
  <c r="P78" i="1"/>
  <c r="P77" i="1"/>
  <c r="Q59" i="1"/>
  <c r="P59" i="1"/>
  <c r="Q58" i="1"/>
  <c r="P58" i="1"/>
  <c r="Q49" i="1"/>
  <c r="Q50" i="1" s="1"/>
  <c r="P49" i="1"/>
  <c r="P50" i="1" s="1"/>
  <c r="Q43" i="1"/>
  <c r="P43" i="1"/>
  <c r="Q42" i="1"/>
  <c r="P42" i="1"/>
  <c r="Q41" i="1"/>
  <c r="P41" i="1"/>
  <c r="Q40" i="1"/>
  <c r="P40" i="1"/>
  <c r="Q39" i="1"/>
  <c r="P39" i="1"/>
  <c r="P32" i="1"/>
  <c r="Q32" i="1"/>
  <c r="Q31" i="1"/>
  <c r="Q36" i="1" l="1"/>
  <c r="P36" i="1"/>
  <c r="O31" i="1"/>
  <c r="O36" i="1" s="1"/>
  <c r="O49" i="1"/>
  <c r="O50" i="1" s="1"/>
  <c r="N36" i="1"/>
  <c r="N50" i="1"/>
  <c r="N43" i="1"/>
  <c r="O43" i="1" s="1"/>
  <c r="P44" i="1"/>
  <c r="P60" i="1"/>
  <c r="N59" i="1"/>
  <c r="O59" i="1" s="1"/>
  <c r="Q60" i="1"/>
  <c r="N42" i="1"/>
  <c r="O42" i="1" s="1"/>
  <c r="N38" i="1"/>
  <c r="N39" i="1"/>
  <c r="O39" i="1" s="1"/>
  <c r="N41" i="1"/>
  <c r="O41" i="1" s="1"/>
  <c r="Q44" i="1"/>
  <c r="M256" i="2"/>
  <c r="M257" i="2"/>
  <c r="M258" i="2"/>
  <c r="M259" i="2"/>
  <c r="M260" i="2"/>
  <c r="M262" i="2"/>
  <c r="M263" i="2"/>
  <c r="M264" i="2"/>
  <c r="M265" i="2"/>
  <c r="M266" i="2"/>
  <c r="M267" i="2"/>
  <c r="M268" i="2"/>
  <c r="K36" i="2"/>
  <c r="M261" i="2" l="1"/>
  <c r="M255" i="2"/>
  <c r="P71" i="1"/>
  <c r="O38" i="1"/>
  <c r="N40" i="1"/>
  <c r="O40" i="1" s="1"/>
  <c r="Q71" i="1"/>
  <c r="N58" i="1"/>
  <c r="N60" i="1" s="1"/>
  <c r="R71" i="1" l="1"/>
  <c r="M274" i="2"/>
  <c r="N44" i="1"/>
  <c r="N61" i="1" s="1"/>
  <c r="O58" i="1"/>
  <c r="O60" i="1" s="1"/>
  <c r="O44" i="1"/>
  <c r="K270" i="2"/>
  <c r="L270" i="2"/>
  <c r="K271" i="2"/>
  <c r="L271" i="2"/>
  <c r="L272" i="2"/>
  <c r="K273" i="2"/>
  <c r="L273" i="2"/>
  <c r="L269" i="2"/>
  <c r="K269" i="2"/>
  <c r="L263" i="2"/>
  <c r="L264" i="2"/>
  <c r="L265" i="2"/>
  <c r="L266" i="2"/>
  <c r="L267" i="2"/>
  <c r="L262" i="2"/>
  <c r="K263" i="2"/>
  <c r="K267" i="2"/>
  <c r="K262" i="2"/>
  <c r="L257" i="2"/>
  <c r="L258" i="2"/>
  <c r="L259" i="2"/>
  <c r="L260" i="2"/>
  <c r="L256" i="2"/>
  <c r="K257" i="2"/>
  <c r="K259" i="2"/>
  <c r="O259" i="2" s="1"/>
  <c r="F241" i="3" s="1"/>
  <c r="H241" i="3" s="1"/>
  <c r="J241" i="3" s="1"/>
  <c r="K241" i="3" s="1"/>
  <c r="G235" i="17" s="1"/>
  <c r="F235" i="17" s="1"/>
  <c r="K260" i="2"/>
  <c r="K256" i="2"/>
  <c r="O256" i="2" s="1"/>
  <c r="F238" i="3" s="1"/>
  <c r="H238" i="3" s="1"/>
  <c r="J238" i="3" s="1"/>
  <c r="K238" i="3" s="1"/>
  <c r="G232" i="17" s="1"/>
  <c r="F232" i="17" s="1"/>
  <c r="L238" i="2"/>
  <c r="L237" i="2"/>
  <c r="K238" i="2"/>
  <c r="K239" i="2"/>
  <c r="K237" i="2"/>
  <c r="K317" i="2"/>
  <c r="K315" i="2"/>
  <c r="M292" i="2"/>
  <c r="L292" i="2"/>
  <c r="K292" i="2"/>
  <c r="M291" i="2"/>
  <c r="L291" i="2"/>
  <c r="M289" i="2"/>
  <c r="L289" i="2"/>
  <c r="M288" i="2"/>
  <c r="L288" i="2"/>
  <c r="K288" i="2"/>
  <c r="M287" i="2"/>
  <c r="L287" i="2"/>
  <c r="K287" i="2"/>
  <c r="M283" i="2"/>
  <c r="L283" i="2"/>
  <c r="K283" i="2"/>
  <c r="M282" i="2"/>
  <c r="L282" i="2"/>
  <c r="K282" i="2"/>
  <c r="M280" i="2"/>
  <c r="L280" i="2"/>
  <c r="K280" i="2"/>
  <c r="M279" i="2"/>
  <c r="L279" i="2"/>
  <c r="K279" i="2"/>
  <c r="M278" i="2"/>
  <c r="L278" i="2"/>
  <c r="K278" i="2"/>
  <c r="M251" i="2"/>
  <c r="L251" i="2"/>
  <c r="K251" i="2"/>
  <c r="M250" i="2"/>
  <c r="L250" i="2"/>
  <c r="K250" i="2"/>
  <c r="M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38" i="2"/>
  <c r="M237" i="2"/>
  <c r="M31" i="2"/>
  <c r="M39" i="2" s="1"/>
  <c r="N31" i="2"/>
  <c r="K109" i="2"/>
  <c r="L106" i="2"/>
  <c r="M233" i="2"/>
  <c r="L218" i="3" s="1"/>
  <c r="L233" i="2"/>
  <c r="K233" i="2"/>
  <c r="M232" i="2"/>
  <c r="L217" i="3" s="1"/>
  <c r="L232" i="2"/>
  <c r="K232" i="2"/>
  <c r="M231" i="2"/>
  <c r="L216" i="3" s="1"/>
  <c r="L231" i="2"/>
  <c r="M230" i="2"/>
  <c r="L215" i="3" s="1"/>
  <c r="L230" i="2"/>
  <c r="K230" i="2"/>
  <c r="M229" i="2"/>
  <c r="L214" i="3" s="1"/>
  <c r="L229" i="2"/>
  <c r="K229" i="2"/>
  <c r="M228" i="2"/>
  <c r="L213" i="3" s="1"/>
  <c r="L228" i="2"/>
  <c r="M227" i="2"/>
  <c r="L212" i="3" s="1"/>
  <c r="L227" i="2"/>
  <c r="K227" i="2"/>
  <c r="M226" i="2"/>
  <c r="L211" i="3" s="1"/>
  <c r="L226" i="2"/>
  <c r="K226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M214" i="2"/>
  <c r="L214" i="2"/>
  <c r="K214" i="2"/>
  <c r="M213" i="2"/>
  <c r="L213" i="2"/>
  <c r="M212" i="2"/>
  <c r="L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K206" i="2"/>
  <c r="K204" i="2" s="1"/>
  <c r="K203" i="2"/>
  <c r="K198" i="2"/>
  <c r="K163" i="2"/>
  <c r="K161" i="2" s="1"/>
  <c r="K187" i="2"/>
  <c r="K176" i="2"/>
  <c r="K172" i="2"/>
  <c r="K154" i="2"/>
  <c r="K168" i="2"/>
  <c r="K201" i="2"/>
  <c r="K200" i="2"/>
  <c r="K197" i="2"/>
  <c r="K196" i="2"/>
  <c r="K184" i="2"/>
  <c r="K181" i="2"/>
  <c r="K180" i="2"/>
  <c r="K179" i="2"/>
  <c r="K174" i="2"/>
  <c r="K171" i="2"/>
  <c r="K153" i="2"/>
  <c r="K152" i="2"/>
  <c r="K167" i="2"/>
  <c r="K166" i="2"/>
  <c r="K149" i="2"/>
  <c r="K148" i="2"/>
  <c r="K146" i="2"/>
  <c r="K145" i="2"/>
  <c r="K144" i="2"/>
  <c r="K139" i="2"/>
  <c r="M138" i="2"/>
  <c r="L138" i="2"/>
  <c r="K138" i="2"/>
  <c r="M137" i="2"/>
  <c r="L137" i="2"/>
  <c r="K137" i="2"/>
  <c r="L134" i="2"/>
  <c r="K134" i="2"/>
  <c r="M133" i="2"/>
  <c r="L133" i="2"/>
  <c r="K133" i="2"/>
  <c r="M132" i="2"/>
  <c r="L132" i="2"/>
  <c r="K132" i="2"/>
  <c r="M130" i="2"/>
  <c r="K130" i="2"/>
  <c r="M129" i="2"/>
  <c r="L129" i="2"/>
  <c r="K129" i="2"/>
  <c r="M128" i="2"/>
  <c r="L128" i="2"/>
  <c r="K128" i="2"/>
  <c r="L124" i="2"/>
  <c r="L123" i="2"/>
  <c r="K123" i="2"/>
  <c r="M119" i="2"/>
  <c r="L119" i="2"/>
  <c r="K119" i="2"/>
  <c r="M118" i="2"/>
  <c r="L118" i="2"/>
  <c r="K118" i="2"/>
  <c r="L117" i="2"/>
  <c r="K117" i="2"/>
  <c r="M116" i="2"/>
  <c r="L116" i="2"/>
  <c r="M112" i="2"/>
  <c r="L112" i="2"/>
  <c r="K112" i="2"/>
  <c r="M111" i="2"/>
  <c r="L111" i="2"/>
  <c r="K111" i="2"/>
  <c r="L110" i="2"/>
  <c r="K110" i="2"/>
  <c r="M109" i="2"/>
  <c r="L109" i="2"/>
  <c r="K106" i="2"/>
  <c r="L105" i="2"/>
  <c r="K105" i="2"/>
  <c r="L104" i="2"/>
  <c r="K104" i="2"/>
  <c r="L102" i="2"/>
  <c r="K102" i="2"/>
  <c r="M101" i="2"/>
  <c r="L101" i="2"/>
  <c r="K101" i="2"/>
  <c r="M100" i="2"/>
  <c r="L100" i="2"/>
  <c r="K100" i="2"/>
  <c r="K97" i="2"/>
  <c r="K96" i="2"/>
  <c r="K95" i="2"/>
  <c r="K94" i="2"/>
  <c r="M90" i="2"/>
  <c r="L90" i="2"/>
  <c r="K90" i="2"/>
  <c r="M89" i="2"/>
  <c r="L89" i="2"/>
  <c r="K89" i="2"/>
  <c r="M88" i="2"/>
  <c r="L88" i="2"/>
  <c r="K88" i="2"/>
  <c r="L86" i="2"/>
  <c r="K86" i="2"/>
  <c r="M85" i="2"/>
  <c r="L85" i="2"/>
  <c r="K85" i="2"/>
  <c r="L83" i="2"/>
  <c r="K83" i="2"/>
  <c r="M82" i="2"/>
  <c r="L82" i="2"/>
  <c r="K82" i="2"/>
  <c r="M81" i="2"/>
  <c r="L81" i="2"/>
  <c r="K81" i="2"/>
  <c r="M79" i="2"/>
  <c r="K79" i="2"/>
  <c r="M78" i="2"/>
  <c r="L78" i="2"/>
  <c r="K78" i="2"/>
  <c r="M77" i="2"/>
  <c r="L77" i="2"/>
  <c r="K77" i="2"/>
  <c r="L73" i="2"/>
  <c r="K73" i="2"/>
  <c r="L72" i="2"/>
  <c r="K72" i="2"/>
  <c r="L71" i="2"/>
  <c r="K71" i="2"/>
  <c r="M67" i="2"/>
  <c r="L67" i="2"/>
  <c r="K67" i="2"/>
  <c r="M66" i="2"/>
  <c r="L66" i="2"/>
  <c r="K66" i="2"/>
  <c r="M65" i="2"/>
  <c r="L65" i="2"/>
  <c r="K65" i="2"/>
  <c r="M64" i="2"/>
  <c r="L64" i="2"/>
  <c r="K64" i="2"/>
  <c r="M60" i="2"/>
  <c r="L60" i="2"/>
  <c r="K60" i="2"/>
  <c r="K58" i="2"/>
  <c r="M57" i="2"/>
  <c r="L57" i="2"/>
  <c r="K54" i="2"/>
  <c r="K53" i="2"/>
  <c r="L50" i="2"/>
  <c r="K50" i="2"/>
  <c r="M49" i="2"/>
  <c r="L49" i="2"/>
  <c r="K49" i="2"/>
  <c r="M48" i="2"/>
  <c r="L48" i="2"/>
  <c r="K45" i="2"/>
  <c r="K44" i="2"/>
  <c r="K35" i="2"/>
  <c r="L33" i="2"/>
  <c r="L32" i="2"/>
  <c r="K33" i="2"/>
  <c r="E242" i="2"/>
  <c r="F242" i="2"/>
  <c r="G242" i="2"/>
  <c r="D242" i="2"/>
  <c r="D272" i="2"/>
  <c r="E261" i="2"/>
  <c r="E404" i="2" s="1"/>
  <c r="L404" i="2" s="1"/>
  <c r="F261" i="2"/>
  <c r="D264" i="2"/>
  <c r="D266" i="2"/>
  <c r="D265" i="2"/>
  <c r="E255" i="2"/>
  <c r="E403" i="2" s="1"/>
  <c r="L403" i="2" s="1"/>
  <c r="F255" i="2"/>
  <c r="D258" i="2"/>
  <c r="D236" i="2"/>
  <c r="F239" i="2"/>
  <c r="D231" i="2"/>
  <c r="D228" i="2"/>
  <c r="D215" i="2"/>
  <c r="F207" i="2"/>
  <c r="E207" i="2"/>
  <c r="D212" i="2"/>
  <c r="D213" i="2"/>
  <c r="O260" i="2" l="1"/>
  <c r="F242" i="3" s="1"/>
  <c r="H242" i="3" s="1"/>
  <c r="J242" i="3" s="1"/>
  <c r="K242" i="3" s="1"/>
  <c r="G236" i="17" s="1"/>
  <c r="F236" i="17" s="1"/>
  <c r="O246" i="2"/>
  <c r="F229" i="3" s="1"/>
  <c r="H229" i="3" s="1"/>
  <c r="J229" i="3" s="1"/>
  <c r="K229" i="3" s="1"/>
  <c r="G223" i="17" s="1"/>
  <c r="F223" i="17" s="1"/>
  <c r="K195" i="2"/>
  <c r="L243" i="2"/>
  <c r="O245" i="2"/>
  <c r="F228" i="3" s="1"/>
  <c r="H228" i="3" s="1"/>
  <c r="M243" i="2"/>
  <c r="K165" i="2"/>
  <c r="O244" i="2"/>
  <c r="F227" i="3" s="1"/>
  <c r="K243" i="2"/>
  <c r="O248" i="2"/>
  <c r="F231" i="3" s="1"/>
  <c r="H231" i="3" s="1"/>
  <c r="J231" i="3" s="1"/>
  <c r="K231" i="3" s="1"/>
  <c r="G225" i="17" s="1"/>
  <c r="F225" i="17" s="1"/>
  <c r="H242" i="2"/>
  <c r="O251" i="2"/>
  <c r="F234" i="3" s="1"/>
  <c r="H234" i="3" s="1"/>
  <c r="J234" i="3" s="1"/>
  <c r="K234" i="3" s="1"/>
  <c r="O247" i="2"/>
  <c r="F230" i="3" s="1"/>
  <c r="H230" i="3" s="1"/>
  <c r="J230" i="3" s="1"/>
  <c r="K230" i="3" s="1"/>
  <c r="G224" i="17" s="1"/>
  <c r="F224" i="17" s="1"/>
  <c r="O249" i="2"/>
  <c r="F232" i="3" s="1"/>
  <c r="H232" i="3" s="1"/>
  <c r="J232" i="3" s="1"/>
  <c r="K232" i="3" s="1"/>
  <c r="O250" i="2"/>
  <c r="F233" i="3" s="1"/>
  <c r="H233" i="3" s="1"/>
  <c r="J233" i="3" s="1"/>
  <c r="K233" i="3" s="1"/>
  <c r="K151" i="2"/>
  <c r="O263" i="2"/>
  <c r="F245" i="3" s="1"/>
  <c r="H245" i="3" s="1"/>
  <c r="O271" i="2"/>
  <c r="F253" i="3" s="1"/>
  <c r="H253" i="3" s="1"/>
  <c r="J253" i="3" s="1"/>
  <c r="K253" i="3" s="1"/>
  <c r="G247" i="17" s="1"/>
  <c r="F247" i="17" s="1"/>
  <c r="O269" i="2"/>
  <c r="F251" i="3" s="1"/>
  <c r="M286" i="2"/>
  <c r="O292" i="2"/>
  <c r="F273" i="3" s="1"/>
  <c r="H273" i="3" s="1"/>
  <c r="J273" i="3" s="1"/>
  <c r="K273" i="3" s="1"/>
  <c r="G267" i="17" s="1"/>
  <c r="F267" i="17" s="1"/>
  <c r="O267" i="2"/>
  <c r="F249" i="3" s="1"/>
  <c r="H249" i="3" s="1"/>
  <c r="J249" i="3" s="1"/>
  <c r="K249" i="3" s="1"/>
  <c r="G243" i="17" s="1"/>
  <c r="F243" i="17" s="1"/>
  <c r="O270" i="2"/>
  <c r="F252" i="3" s="1"/>
  <c r="H252" i="3" s="1"/>
  <c r="J252" i="3" s="1"/>
  <c r="K252" i="3" s="1"/>
  <c r="G246" i="17" s="1"/>
  <c r="F246" i="17" s="1"/>
  <c r="K281" i="2"/>
  <c r="O282" i="2"/>
  <c r="F263" i="3" s="1"/>
  <c r="H263" i="3" s="1"/>
  <c r="J263" i="3" s="1"/>
  <c r="K263" i="3" s="1"/>
  <c r="G257" i="17" s="1"/>
  <c r="F257" i="17" s="1"/>
  <c r="O280" i="2"/>
  <c r="F261" i="3" s="1"/>
  <c r="H261" i="3" s="1"/>
  <c r="O288" i="2"/>
  <c r="F269" i="3" s="1"/>
  <c r="H269" i="3" s="1"/>
  <c r="O237" i="2"/>
  <c r="F221" i="3" s="1"/>
  <c r="H221" i="3" s="1"/>
  <c r="J221" i="3" s="1"/>
  <c r="K221" i="3" s="1"/>
  <c r="G215" i="17" s="1"/>
  <c r="F215" i="17" s="1"/>
  <c r="O257" i="2"/>
  <c r="F239" i="3" s="1"/>
  <c r="H239" i="3" s="1"/>
  <c r="J239" i="3" s="1"/>
  <c r="K239" i="3" s="1"/>
  <c r="G233" i="17" s="1"/>
  <c r="F233" i="17" s="1"/>
  <c r="O279" i="2"/>
  <c r="F260" i="3" s="1"/>
  <c r="H260" i="3" s="1"/>
  <c r="O287" i="2"/>
  <c r="O278" i="2"/>
  <c r="F259" i="3" s="1"/>
  <c r="H259" i="3" s="1"/>
  <c r="O283" i="2"/>
  <c r="F264" i="3" s="1"/>
  <c r="H264" i="3" s="1"/>
  <c r="L286" i="2"/>
  <c r="O238" i="2"/>
  <c r="F222" i="3" s="1"/>
  <c r="H222" i="3" s="1"/>
  <c r="J222" i="3" s="1"/>
  <c r="K222" i="3" s="1"/>
  <c r="G216" i="17" s="1"/>
  <c r="F216" i="17" s="1"/>
  <c r="O262" i="2"/>
  <c r="F244" i="3" s="1"/>
  <c r="H244" i="3" s="1"/>
  <c r="O273" i="2"/>
  <c r="F255" i="3" s="1"/>
  <c r="H255" i="3" s="1"/>
  <c r="J255" i="3" s="1"/>
  <c r="K255" i="3" s="1"/>
  <c r="G249" i="17" s="1"/>
  <c r="F249" i="17" s="1"/>
  <c r="L268" i="2"/>
  <c r="L261" i="2"/>
  <c r="K34" i="2"/>
  <c r="L281" i="2"/>
  <c r="L255" i="2"/>
  <c r="O50" i="2"/>
  <c r="K212" i="2"/>
  <c r="O44" i="2"/>
  <c r="F29" i="3" s="1"/>
  <c r="H29" i="3" s="1"/>
  <c r="J29" i="3" s="1"/>
  <c r="K29" i="3" s="1"/>
  <c r="G23" i="17" s="1"/>
  <c r="F23" i="17" s="1"/>
  <c r="K228" i="2"/>
  <c r="D268" i="2"/>
  <c r="D405" i="2" s="1"/>
  <c r="M47" i="2"/>
  <c r="K277" i="2"/>
  <c r="L277" i="2"/>
  <c r="K272" i="2"/>
  <c r="O272" i="2" s="1"/>
  <c r="F254" i="3" s="1"/>
  <c r="H254" i="3" s="1"/>
  <c r="J254" i="3" s="1"/>
  <c r="K254" i="3" s="1"/>
  <c r="G248" i="17" s="1"/>
  <c r="F248" i="17" s="1"/>
  <c r="K264" i="2"/>
  <c r="O264" i="2" s="1"/>
  <c r="F246" i="3" s="1"/>
  <c r="H246" i="3" s="1"/>
  <c r="J246" i="3" s="1"/>
  <c r="K246" i="3" s="1"/>
  <c r="G240" i="17" s="1"/>
  <c r="F240" i="17" s="1"/>
  <c r="O35" i="2"/>
  <c r="F21" i="3" s="1"/>
  <c r="H21" i="3" s="1"/>
  <c r="J21" i="3" s="1"/>
  <c r="K21" i="3" s="1"/>
  <c r="G15" i="17" s="1"/>
  <c r="F15" i="17" s="1"/>
  <c r="E239" i="2"/>
  <c r="M239" i="2"/>
  <c r="M236" i="2" s="1"/>
  <c r="L207" i="2"/>
  <c r="D255" i="2"/>
  <c r="D403" i="2" s="1"/>
  <c r="K258" i="2"/>
  <c r="K266" i="2"/>
  <c r="O266" i="2" s="1"/>
  <c r="F248" i="3" s="1"/>
  <c r="H248" i="3" s="1"/>
  <c r="J248" i="3" s="1"/>
  <c r="K248" i="3" s="1"/>
  <c r="K265" i="2"/>
  <c r="O265" i="2" s="1"/>
  <c r="F247" i="3" s="1"/>
  <c r="H247" i="3" s="1"/>
  <c r="J247" i="3" s="1"/>
  <c r="K247" i="3" s="1"/>
  <c r="L47" i="2"/>
  <c r="M207" i="2"/>
  <c r="K231" i="2"/>
  <c r="D240" i="2"/>
  <c r="D402" i="2" s="1"/>
  <c r="O95" i="2"/>
  <c r="F80" i="3" s="1"/>
  <c r="H80" i="3" s="1"/>
  <c r="J80" i="3" s="1"/>
  <c r="K80" i="3" s="1"/>
  <c r="G74" i="17" s="1"/>
  <c r="F74" i="17" s="1"/>
  <c r="O145" i="2"/>
  <c r="F130" i="3" s="1"/>
  <c r="H130" i="3" s="1"/>
  <c r="O149" i="2"/>
  <c r="F134" i="3" s="1"/>
  <c r="H134" i="3" s="1"/>
  <c r="J134" i="3" s="1"/>
  <c r="K134" i="3" s="1"/>
  <c r="G128" i="17" s="1"/>
  <c r="F128" i="17" s="1"/>
  <c r="O172" i="2"/>
  <c r="F157" i="3" s="1"/>
  <c r="H157" i="3" s="1"/>
  <c r="J157" i="3" s="1"/>
  <c r="K157" i="3" s="1"/>
  <c r="G151" i="17" s="1"/>
  <c r="F151" i="17" s="1"/>
  <c r="O209" i="2"/>
  <c r="F194" i="3" s="1"/>
  <c r="H194" i="3" s="1"/>
  <c r="J194" i="3" s="1"/>
  <c r="K194" i="3" s="1"/>
  <c r="G188" i="17" s="1"/>
  <c r="F188" i="17" s="1"/>
  <c r="L31" i="2"/>
  <c r="L39" i="2" s="1"/>
  <c r="O96" i="2"/>
  <c r="F81" i="3" s="1"/>
  <c r="H81" i="3" s="1"/>
  <c r="J81" i="3" s="1"/>
  <c r="K81" i="3" s="1"/>
  <c r="G75" i="17" s="1"/>
  <c r="F75" i="17" s="1"/>
  <c r="O106" i="2"/>
  <c r="F91" i="3" s="1"/>
  <c r="H91" i="3" s="1"/>
  <c r="J91" i="3" s="1"/>
  <c r="K91" i="3" s="1"/>
  <c r="G85" i="17" s="1"/>
  <c r="F85" i="17" s="1"/>
  <c r="O138" i="2"/>
  <c r="F123" i="3" s="1"/>
  <c r="H123" i="3" s="1"/>
  <c r="J123" i="3" s="1"/>
  <c r="K123" i="3" s="1"/>
  <c r="O146" i="2"/>
  <c r="F131" i="3" s="1"/>
  <c r="H131" i="3" s="1"/>
  <c r="J131" i="3" s="1"/>
  <c r="K131" i="3" s="1"/>
  <c r="G125" i="17" s="1"/>
  <c r="F125" i="17" s="1"/>
  <c r="O197" i="2"/>
  <c r="F182" i="3" s="1"/>
  <c r="H182" i="3" s="1"/>
  <c r="J182" i="3" s="1"/>
  <c r="K182" i="3" s="1"/>
  <c r="G176" i="17" s="1"/>
  <c r="F176" i="17" s="1"/>
  <c r="O176" i="2"/>
  <c r="F161" i="3" s="1"/>
  <c r="H161" i="3" s="1"/>
  <c r="J161" i="3" s="1"/>
  <c r="K161" i="3" s="1"/>
  <c r="G155" i="17" s="1"/>
  <c r="F155" i="17" s="1"/>
  <c r="O203" i="2"/>
  <c r="F188" i="3" s="1"/>
  <c r="H188" i="3" s="1"/>
  <c r="J188" i="3" s="1"/>
  <c r="K188" i="3" s="1"/>
  <c r="G182" i="17" s="1"/>
  <c r="F182" i="17" s="1"/>
  <c r="O210" i="2"/>
  <c r="F195" i="3" s="1"/>
  <c r="H195" i="3" s="1"/>
  <c r="J195" i="3" s="1"/>
  <c r="K195" i="3" s="1"/>
  <c r="G189" i="17" s="1"/>
  <c r="F189" i="17" s="1"/>
  <c r="O218" i="2"/>
  <c r="F203" i="3" s="1"/>
  <c r="H203" i="3" s="1"/>
  <c r="J203" i="3" s="1"/>
  <c r="K203" i="3" s="1"/>
  <c r="G197" i="17" s="1"/>
  <c r="F197" i="17" s="1"/>
  <c r="O222" i="2"/>
  <c r="F207" i="3" s="1"/>
  <c r="H207" i="3" s="1"/>
  <c r="J207" i="3" s="1"/>
  <c r="K207" i="3" s="1"/>
  <c r="G201" i="17" s="1"/>
  <c r="F201" i="17" s="1"/>
  <c r="O227" i="2"/>
  <c r="F212" i="3" s="1"/>
  <c r="H212" i="3" s="1"/>
  <c r="L225" i="2"/>
  <c r="K213" i="2"/>
  <c r="H215" i="2"/>
  <c r="O65" i="2"/>
  <c r="F50" i="3" s="1"/>
  <c r="H50" i="3" s="1"/>
  <c r="J50" i="3" s="1"/>
  <c r="K50" i="3" s="1"/>
  <c r="O90" i="2"/>
  <c r="F75" i="3" s="1"/>
  <c r="H75" i="3" s="1"/>
  <c r="J75" i="3" s="1"/>
  <c r="K75" i="3" s="1"/>
  <c r="O97" i="2"/>
  <c r="F82" i="3" s="1"/>
  <c r="H82" i="3" s="1"/>
  <c r="J82" i="3" s="1"/>
  <c r="K82" i="3" s="1"/>
  <c r="G76" i="17" s="1"/>
  <c r="F76" i="17" s="1"/>
  <c r="E274" i="2"/>
  <c r="O109" i="2"/>
  <c r="F94" i="3" s="1"/>
  <c r="K131" i="2"/>
  <c r="O101" i="2"/>
  <c r="F86" i="3" s="1"/>
  <c r="H86" i="3" s="1"/>
  <c r="J86" i="3" s="1"/>
  <c r="K86" i="3" s="1"/>
  <c r="G80" i="17" s="1"/>
  <c r="F80" i="17" s="1"/>
  <c r="L99" i="2"/>
  <c r="O105" i="2"/>
  <c r="F90" i="3" s="1"/>
  <c r="H90" i="3" s="1"/>
  <c r="J90" i="3" s="1"/>
  <c r="K90" i="3" s="1"/>
  <c r="G84" i="17" s="1"/>
  <c r="F84" i="17" s="1"/>
  <c r="L131" i="2"/>
  <c r="O137" i="2"/>
  <c r="F122" i="3" s="1"/>
  <c r="O153" i="2"/>
  <c r="F138" i="3" s="1"/>
  <c r="H138" i="3" s="1"/>
  <c r="J138" i="3" s="1"/>
  <c r="K138" i="3" s="1"/>
  <c r="G132" i="17" s="1"/>
  <c r="F132" i="17" s="1"/>
  <c r="O181" i="2"/>
  <c r="F166" i="3" s="1"/>
  <c r="H166" i="3" s="1"/>
  <c r="J166" i="3" s="1"/>
  <c r="K166" i="3" s="1"/>
  <c r="G160" i="17" s="1"/>
  <c r="F160" i="17" s="1"/>
  <c r="O196" i="2"/>
  <c r="F181" i="3" s="1"/>
  <c r="O198" i="2"/>
  <c r="F183" i="3" s="1"/>
  <c r="H183" i="3" s="1"/>
  <c r="J183" i="3" s="1"/>
  <c r="K183" i="3" s="1"/>
  <c r="G177" i="17" s="1"/>
  <c r="F177" i="17" s="1"/>
  <c r="O217" i="2"/>
  <c r="F202" i="3" s="1"/>
  <c r="H202" i="3" s="1"/>
  <c r="J202" i="3" s="1"/>
  <c r="K202" i="3" s="1"/>
  <c r="G196" i="17" s="1"/>
  <c r="F196" i="17" s="1"/>
  <c r="O221" i="2"/>
  <c r="F206" i="3" s="1"/>
  <c r="H206" i="3" s="1"/>
  <c r="J206" i="3" s="1"/>
  <c r="K206" i="3" s="1"/>
  <c r="G200" i="17" s="1"/>
  <c r="F200" i="17" s="1"/>
  <c r="O230" i="2"/>
  <c r="F215" i="3" s="1"/>
  <c r="H215" i="3" s="1"/>
  <c r="J215" i="3" s="1"/>
  <c r="K215" i="3" s="1"/>
  <c r="G209" i="17" s="1"/>
  <c r="F209" i="17" s="1"/>
  <c r="M76" i="2"/>
  <c r="L80" i="2"/>
  <c r="K84" i="2"/>
  <c r="K76" i="2"/>
  <c r="L84" i="2"/>
  <c r="K87" i="2"/>
  <c r="O94" i="2"/>
  <c r="F79" i="3" s="1"/>
  <c r="K99" i="2"/>
  <c r="O112" i="2"/>
  <c r="F97" i="3" s="1"/>
  <c r="H97" i="3" s="1"/>
  <c r="J97" i="3" s="1"/>
  <c r="K97" i="3" s="1"/>
  <c r="O119" i="2"/>
  <c r="F104" i="3" s="1"/>
  <c r="H104" i="3" s="1"/>
  <c r="J104" i="3" s="1"/>
  <c r="K104" i="3" s="1"/>
  <c r="O129" i="2"/>
  <c r="F114" i="3" s="1"/>
  <c r="H114" i="3" s="1"/>
  <c r="J114" i="3" s="1"/>
  <c r="K114" i="3" s="1"/>
  <c r="O144" i="2"/>
  <c r="F129" i="3" s="1"/>
  <c r="H129" i="3" s="1"/>
  <c r="O148" i="2"/>
  <c r="F133" i="3" s="1"/>
  <c r="H133" i="3" s="1"/>
  <c r="J133" i="3" s="1"/>
  <c r="K133" i="3" s="1"/>
  <c r="G127" i="17" s="1"/>
  <c r="F127" i="17" s="1"/>
  <c r="O152" i="2"/>
  <c r="F137" i="3" s="1"/>
  <c r="O174" i="2"/>
  <c r="F159" i="3" s="1"/>
  <c r="O180" i="2"/>
  <c r="F165" i="3" s="1"/>
  <c r="H165" i="3" s="1"/>
  <c r="J165" i="3" s="1"/>
  <c r="K165" i="3" s="1"/>
  <c r="G159" i="17" s="1"/>
  <c r="F159" i="17" s="1"/>
  <c r="O184" i="2"/>
  <c r="F169" i="3" s="1"/>
  <c r="H169" i="3" s="1"/>
  <c r="J169" i="3" s="1"/>
  <c r="K169" i="3" s="1"/>
  <c r="G163" i="17" s="1"/>
  <c r="F163" i="17" s="1"/>
  <c r="O201" i="2"/>
  <c r="F186" i="3" s="1"/>
  <c r="H186" i="3" s="1"/>
  <c r="J186" i="3" s="1"/>
  <c r="K186" i="3" s="1"/>
  <c r="G180" i="17" s="1"/>
  <c r="F180" i="17" s="1"/>
  <c r="O154" i="2"/>
  <c r="F139" i="3" s="1"/>
  <c r="H139" i="3" s="1"/>
  <c r="J139" i="3" s="1"/>
  <c r="K139" i="3" s="1"/>
  <c r="G133" i="17" s="1"/>
  <c r="F133" i="17" s="1"/>
  <c r="O163" i="2"/>
  <c r="F148" i="3" s="1"/>
  <c r="O208" i="2"/>
  <c r="F193" i="3" s="1"/>
  <c r="O216" i="2"/>
  <c r="F201" i="3" s="1"/>
  <c r="O220" i="2"/>
  <c r="F205" i="3" s="1"/>
  <c r="H205" i="3" s="1"/>
  <c r="J205" i="3" s="1"/>
  <c r="K205" i="3" s="1"/>
  <c r="G199" i="17" s="1"/>
  <c r="F199" i="17" s="1"/>
  <c r="O224" i="2"/>
  <c r="F209" i="3" s="1"/>
  <c r="H209" i="3" s="1"/>
  <c r="J209" i="3" s="1"/>
  <c r="K209" i="3" s="1"/>
  <c r="G203" i="17" s="1"/>
  <c r="F203" i="17" s="1"/>
  <c r="O229" i="2"/>
  <c r="F214" i="3" s="1"/>
  <c r="H214" i="3" s="1"/>
  <c r="J214" i="3" s="1"/>
  <c r="K214" i="3" s="1"/>
  <c r="G208" i="17" s="1"/>
  <c r="F208" i="17" s="1"/>
  <c r="O233" i="2"/>
  <c r="F218" i="3" s="1"/>
  <c r="H218" i="3" s="1"/>
  <c r="J218" i="3" s="1"/>
  <c r="K218" i="3" s="1"/>
  <c r="G212" i="17" s="1"/>
  <c r="F212" i="17" s="1"/>
  <c r="O166" i="2"/>
  <c r="F151" i="3" s="1"/>
  <c r="H151" i="3" s="1"/>
  <c r="J151" i="3" s="1"/>
  <c r="M290" i="2"/>
  <c r="M87" i="2"/>
  <c r="O123" i="2"/>
  <c r="F108" i="3" s="1"/>
  <c r="H108" i="3" s="1"/>
  <c r="K127" i="2"/>
  <c r="F274" i="2"/>
  <c r="O60" i="2"/>
  <c r="F45" i="3" s="1"/>
  <c r="H45" i="3" s="1"/>
  <c r="J45" i="3" s="1"/>
  <c r="K45" i="3" s="1"/>
  <c r="O67" i="2"/>
  <c r="F52" i="3" s="1"/>
  <c r="H52" i="3" s="1"/>
  <c r="J52" i="3" s="1"/>
  <c r="K52" i="3" s="1"/>
  <c r="O77" i="2"/>
  <c r="F62" i="3" s="1"/>
  <c r="H62" i="3" s="1"/>
  <c r="J62" i="3" s="1"/>
  <c r="K62" i="3" s="1"/>
  <c r="O82" i="2"/>
  <c r="F67" i="3" s="1"/>
  <c r="H67" i="3" s="1"/>
  <c r="J67" i="3" s="1"/>
  <c r="K67" i="3" s="1"/>
  <c r="O88" i="2"/>
  <c r="F73" i="3" s="1"/>
  <c r="O111" i="2"/>
  <c r="F96" i="3" s="1"/>
  <c r="H96" i="3" s="1"/>
  <c r="J96" i="3" s="1"/>
  <c r="K96" i="3" s="1"/>
  <c r="O118" i="2"/>
  <c r="F103" i="3" s="1"/>
  <c r="H103" i="3" s="1"/>
  <c r="J103" i="3" s="1"/>
  <c r="K103" i="3" s="1"/>
  <c r="O128" i="2"/>
  <c r="F113" i="3" s="1"/>
  <c r="O133" i="2"/>
  <c r="F118" i="3" s="1"/>
  <c r="H118" i="3" s="1"/>
  <c r="J118" i="3" s="1"/>
  <c r="K118" i="3" s="1"/>
  <c r="O167" i="2"/>
  <c r="F152" i="3" s="1"/>
  <c r="H152" i="3" s="1"/>
  <c r="J152" i="3" s="1"/>
  <c r="K152" i="3" s="1"/>
  <c r="G146" i="17" s="1"/>
  <c r="F146" i="17" s="1"/>
  <c r="O171" i="2"/>
  <c r="F156" i="3" s="1"/>
  <c r="H156" i="3" s="1"/>
  <c r="J156" i="3" s="1"/>
  <c r="K156" i="3" s="1"/>
  <c r="G150" i="17" s="1"/>
  <c r="F150" i="17" s="1"/>
  <c r="O179" i="2"/>
  <c r="F164" i="3" s="1"/>
  <c r="H164" i="3" s="1"/>
  <c r="J164" i="3" s="1"/>
  <c r="K164" i="3" s="1"/>
  <c r="G158" i="17" s="1"/>
  <c r="F158" i="17" s="1"/>
  <c r="O168" i="2"/>
  <c r="F153" i="3" s="1"/>
  <c r="H153" i="3" s="1"/>
  <c r="J153" i="3" s="1"/>
  <c r="K153" i="3" s="1"/>
  <c r="G147" i="17" s="1"/>
  <c r="F147" i="17" s="1"/>
  <c r="O187" i="2"/>
  <c r="F172" i="3" s="1"/>
  <c r="H172" i="3" s="1"/>
  <c r="J172" i="3" s="1"/>
  <c r="K172" i="3" s="1"/>
  <c r="G166" i="17" s="1"/>
  <c r="F166" i="17" s="1"/>
  <c r="O206" i="2"/>
  <c r="F191" i="3" s="1"/>
  <c r="O211" i="2"/>
  <c r="F196" i="3" s="1"/>
  <c r="H196" i="3" s="1"/>
  <c r="J196" i="3" s="1"/>
  <c r="K196" i="3" s="1"/>
  <c r="G190" i="17" s="1"/>
  <c r="F190" i="17" s="1"/>
  <c r="O214" i="2"/>
  <c r="F199" i="3" s="1"/>
  <c r="H199" i="3" s="1"/>
  <c r="J199" i="3" s="1"/>
  <c r="K199" i="3" s="1"/>
  <c r="L215" i="2"/>
  <c r="O219" i="2"/>
  <c r="F204" i="3" s="1"/>
  <c r="H204" i="3" s="1"/>
  <c r="J204" i="3" s="1"/>
  <c r="K204" i="3" s="1"/>
  <c r="G198" i="17" s="1"/>
  <c r="F198" i="17" s="1"/>
  <c r="O223" i="2"/>
  <c r="F208" i="3" s="1"/>
  <c r="H208" i="3" s="1"/>
  <c r="J208" i="3" s="1"/>
  <c r="K208" i="3" s="1"/>
  <c r="G202" i="17" s="1"/>
  <c r="F202" i="17" s="1"/>
  <c r="M225" i="2"/>
  <c r="O232" i="2"/>
  <c r="F217" i="3" s="1"/>
  <c r="H217" i="3" s="1"/>
  <c r="J217" i="3" s="1"/>
  <c r="K217" i="3" s="1"/>
  <c r="G211" i="17" s="1"/>
  <c r="F211" i="17" s="1"/>
  <c r="K215" i="2"/>
  <c r="M281" i="2"/>
  <c r="O36" i="2"/>
  <c r="F22" i="3" s="1"/>
  <c r="H22" i="3" s="1"/>
  <c r="J22" i="3" s="1"/>
  <c r="K22" i="3" s="1"/>
  <c r="G16" i="17" s="1"/>
  <c r="F16" i="17" s="1"/>
  <c r="O45" i="2"/>
  <c r="F30" i="3" s="1"/>
  <c r="H30" i="3" s="1"/>
  <c r="J30" i="3" s="1"/>
  <c r="K30" i="3" s="1"/>
  <c r="G24" i="17" s="1"/>
  <c r="F24" i="17" s="1"/>
  <c r="O85" i="2"/>
  <c r="F70" i="3" s="1"/>
  <c r="M277" i="2"/>
  <c r="L290" i="2"/>
  <c r="O49" i="2"/>
  <c r="F34" i="3" s="1"/>
  <c r="H34" i="3" s="1"/>
  <c r="J34" i="3" s="1"/>
  <c r="K34" i="3" s="1"/>
  <c r="G28" i="17" s="1"/>
  <c r="F28" i="17" s="1"/>
  <c r="O66" i="2"/>
  <c r="F51" i="3" s="1"/>
  <c r="H51" i="3" s="1"/>
  <c r="J51" i="3" s="1"/>
  <c r="K51" i="3" s="1"/>
  <c r="O73" i="2"/>
  <c r="F58" i="3" s="1"/>
  <c r="H58" i="3" s="1"/>
  <c r="J58" i="3" s="1"/>
  <c r="K58" i="3" s="1"/>
  <c r="G52" i="17" s="1"/>
  <c r="F52" i="17" s="1"/>
  <c r="K80" i="2"/>
  <c r="L87" i="2"/>
  <c r="O64" i="2"/>
  <c r="F49" i="3" s="1"/>
  <c r="H49" i="3" s="1"/>
  <c r="O78" i="2"/>
  <c r="F63" i="3" s="1"/>
  <c r="H63" i="3" s="1"/>
  <c r="J63" i="3" s="1"/>
  <c r="K63" i="3" s="1"/>
  <c r="O89" i="2"/>
  <c r="F74" i="3" s="1"/>
  <c r="H74" i="3" s="1"/>
  <c r="J74" i="3" s="1"/>
  <c r="K74" i="3" s="1"/>
  <c r="O71" i="2"/>
  <c r="F56" i="3" s="1"/>
  <c r="H56" i="3" s="1"/>
  <c r="O72" i="2"/>
  <c r="F57" i="3" s="1"/>
  <c r="H57" i="3" s="1"/>
  <c r="J57" i="3" s="1"/>
  <c r="K57" i="3" s="1"/>
  <c r="G51" i="17" s="1"/>
  <c r="F51" i="17" s="1"/>
  <c r="M127" i="2"/>
  <c r="K136" i="2"/>
  <c r="M215" i="2"/>
  <c r="O104" i="2"/>
  <c r="F89" i="3" s="1"/>
  <c r="O132" i="2"/>
  <c r="F117" i="3" s="1"/>
  <c r="H117" i="3" s="1"/>
  <c r="J117" i="3" s="1"/>
  <c r="K117" i="3" s="1"/>
  <c r="K236" i="2"/>
  <c r="O81" i="2"/>
  <c r="F66" i="3" s="1"/>
  <c r="H66" i="3" s="1"/>
  <c r="O100" i="2"/>
  <c r="F85" i="3" s="1"/>
  <c r="H85" i="3" s="1"/>
  <c r="O200" i="2"/>
  <c r="F185" i="3" s="1"/>
  <c r="O33" i="2"/>
  <c r="F19" i="3" s="1"/>
  <c r="H19" i="3" s="1"/>
  <c r="J19" i="3" s="1"/>
  <c r="K19" i="3" s="1"/>
  <c r="G13" i="17" s="1"/>
  <c r="F13" i="17" s="1"/>
  <c r="O226" i="2"/>
  <c r="F211" i="3" s="1"/>
  <c r="D261" i="2"/>
  <c r="D404" i="2" s="1"/>
  <c r="D207" i="2"/>
  <c r="D225" i="2"/>
  <c r="F236" i="2"/>
  <c r="D150" i="2"/>
  <c r="H150" i="2" s="1"/>
  <c r="D202" i="2"/>
  <c r="D186" i="2"/>
  <c r="H186" i="2" s="1"/>
  <c r="D185" i="2"/>
  <c r="H185" i="2" s="1"/>
  <c r="D183" i="2"/>
  <c r="H183" i="2" s="1"/>
  <c r="D182" i="2"/>
  <c r="H182" i="2" s="1"/>
  <c r="D178" i="2"/>
  <c r="D175" i="2"/>
  <c r="D170" i="2"/>
  <c r="D147" i="2"/>
  <c r="H147" i="2" s="1"/>
  <c r="E39" i="2"/>
  <c r="F39" i="2"/>
  <c r="D34" i="2"/>
  <c r="D32" i="2"/>
  <c r="L62" i="3" l="1"/>
  <c r="I56" i="17" s="1"/>
  <c r="H56" i="17" s="1"/>
  <c r="G56" i="17"/>
  <c r="F56" i="17" s="1"/>
  <c r="L114" i="3"/>
  <c r="I108" i="17" s="1"/>
  <c r="G108" i="17"/>
  <c r="F108" i="17" s="1"/>
  <c r="L123" i="3"/>
  <c r="I117" i="17" s="1"/>
  <c r="H117" i="17" s="1"/>
  <c r="G117" i="17"/>
  <c r="F117" i="17" s="1"/>
  <c r="L52" i="3"/>
  <c r="I46" i="17" s="1"/>
  <c r="H46" i="17" s="1"/>
  <c r="G46" i="17"/>
  <c r="F46" i="17" s="1"/>
  <c r="L104" i="3"/>
  <c r="I98" i="17" s="1"/>
  <c r="H98" i="17" s="1"/>
  <c r="G98" i="17"/>
  <c r="F98" i="17" s="1"/>
  <c r="L199" i="3"/>
  <c r="I193" i="17" s="1"/>
  <c r="H193" i="17" s="1"/>
  <c r="G193" i="17"/>
  <c r="F193" i="17" s="1"/>
  <c r="L45" i="3"/>
  <c r="I39" i="17" s="1"/>
  <c r="H39" i="17" s="1"/>
  <c r="G39" i="17"/>
  <c r="F39" i="17" s="1"/>
  <c r="L233" i="3"/>
  <c r="I227" i="17" s="1"/>
  <c r="H227" i="17" s="1"/>
  <c r="G227" i="17"/>
  <c r="F227" i="17" s="1"/>
  <c r="L50" i="3"/>
  <c r="I44" i="17" s="1"/>
  <c r="H44" i="17" s="1"/>
  <c r="G44" i="17"/>
  <c r="F44" i="17" s="1"/>
  <c r="L103" i="3"/>
  <c r="I97" i="17" s="1"/>
  <c r="H97" i="17" s="1"/>
  <c r="G97" i="17"/>
  <c r="F97" i="17" s="1"/>
  <c r="L96" i="3"/>
  <c r="I90" i="17" s="1"/>
  <c r="H90" i="17" s="1"/>
  <c r="G90" i="17"/>
  <c r="F90" i="17" s="1"/>
  <c r="L247" i="3"/>
  <c r="I241" i="17" s="1"/>
  <c r="H241" i="17" s="1"/>
  <c r="G241" i="17"/>
  <c r="F241" i="17" s="1"/>
  <c r="L234" i="3"/>
  <c r="I228" i="17" s="1"/>
  <c r="H228" i="17" s="1"/>
  <c r="G228" i="17"/>
  <c r="F228" i="17" s="1"/>
  <c r="L118" i="3"/>
  <c r="I112" i="17" s="1"/>
  <c r="H112" i="17" s="1"/>
  <c r="G112" i="17"/>
  <c r="F112" i="17" s="1"/>
  <c r="L97" i="3"/>
  <c r="I91" i="17" s="1"/>
  <c r="H91" i="17" s="1"/>
  <c r="G91" i="17"/>
  <c r="F91" i="17" s="1"/>
  <c r="L75" i="3"/>
  <c r="I69" i="17" s="1"/>
  <c r="H69" i="17" s="1"/>
  <c r="G69" i="17"/>
  <c r="F69" i="17" s="1"/>
  <c r="L74" i="3"/>
  <c r="I68" i="17" s="1"/>
  <c r="H68" i="17" s="1"/>
  <c r="G68" i="17"/>
  <c r="F68" i="17" s="1"/>
  <c r="L248" i="3"/>
  <c r="I242" i="17" s="1"/>
  <c r="H242" i="17" s="1"/>
  <c r="G242" i="17"/>
  <c r="F242" i="17" s="1"/>
  <c r="L232" i="3"/>
  <c r="I226" i="17" s="1"/>
  <c r="H226" i="17" s="1"/>
  <c r="G226" i="17"/>
  <c r="F226" i="17" s="1"/>
  <c r="L51" i="3"/>
  <c r="I45" i="17" s="1"/>
  <c r="H45" i="17" s="1"/>
  <c r="G45" i="17"/>
  <c r="F45" i="17" s="1"/>
  <c r="L117" i="3"/>
  <c r="I111" i="17" s="1"/>
  <c r="H111" i="17" s="1"/>
  <c r="G111" i="17"/>
  <c r="F111" i="17" s="1"/>
  <c r="L63" i="3"/>
  <c r="I57" i="17" s="1"/>
  <c r="H57" i="17" s="1"/>
  <c r="G57" i="17"/>
  <c r="F57" i="17" s="1"/>
  <c r="L67" i="3"/>
  <c r="I61" i="17" s="1"/>
  <c r="H61" i="17" s="1"/>
  <c r="G61" i="17"/>
  <c r="F61" i="17" s="1"/>
  <c r="J228" i="3"/>
  <c r="K228" i="3" s="1"/>
  <c r="G222" i="17" s="1"/>
  <c r="F222" i="17" s="1"/>
  <c r="J85" i="3"/>
  <c r="K85" i="3" s="1"/>
  <c r="G79" i="17" s="1"/>
  <c r="F79" i="17" s="1"/>
  <c r="J66" i="3"/>
  <c r="K66" i="3" s="1"/>
  <c r="J244" i="3"/>
  <c r="K244" i="3" s="1"/>
  <c r="G238" i="17" s="1"/>
  <c r="F238" i="17" s="1"/>
  <c r="J129" i="3"/>
  <c r="K129" i="3" s="1"/>
  <c r="G123" i="17" s="1"/>
  <c r="F123" i="17" s="1"/>
  <c r="J130" i="3"/>
  <c r="K130" i="3" s="1"/>
  <c r="G124" i="17" s="1"/>
  <c r="F124" i="17" s="1"/>
  <c r="J49" i="3"/>
  <c r="K49" i="3" s="1"/>
  <c r="G43" i="17" s="1"/>
  <c r="F43" i="17" s="1"/>
  <c r="J212" i="3"/>
  <c r="K212" i="3" s="1"/>
  <c r="G206" i="17" s="1"/>
  <c r="F206" i="17" s="1"/>
  <c r="J245" i="3"/>
  <c r="K245" i="3" s="1"/>
  <c r="G239" i="17" s="1"/>
  <c r="F239" i="17" s="1"/>
  <c r="H122" i="3"/>
  <c r="H113" i="3"/>
  <c r="H227" i="3"/>
  <c r="H211" i="3"/>
  <c r="H70" i="3"/>
  <c r="J70" i="3" s="1"/>
  <c r="K70" i="3" s="1"/>
  <c r="H201" i="3"/>
  <c r="H73" i="3"/>
  <c r="H193" i="3"/>
  <c r="H251" i="3"/>
  <c r="J251" i="3" s="1"/>
  <c r="K251" i="3" s="1"/>
  <c r="G245" i="17" s="1"/>
  <c r="F245" i="17" s="1"/>
  <c r="L252" i="3"/>
  <c r="L255" i="3"/>
  <c r="L254" i="3"/>
  <c r="L253" i="3"/>
  <c r="J264" i="3"/>
  <c r="K264" i="3" s="1"/>
  <c r="G258" i="17" s="1"/>
  <c r="F258" i="17" s="1"/>
  <c r="J260" i="3"/>
  <c r="K260" i="3" s="1"/>
  <c r="G254" i="17" s="1"/>
  <c r="F254" i="17" s="1"/>
  <c r="J269" i="3"/>
  <c r="K269" i="3" s="1"/>
  <c r="G263" i="17" s="1"/>
  <c r="F263" i="17" s="1"/>
  <c r="J261" i="3"/>
  <c r="K261" i="3" s="1"/>
  <c r="G255" i="17" s="1"/>
  <c r="F255" i="17" s="1"/>
  <c r="J259" i="3"/>
  <c r="K259" i="3" s="1"/>
  <c r="G253" i="17" s="1"/>
  <c r="F253" i="17" s="1"/>
  <c r="F146" i="3"/>
  <c r="H146" i="3" s="1"/>
  <c r="H148" i="3"/>
  <c r="F180" i="3"/>
  <c r="H180" i="3" s="1"/>
  <c r="H181" i="3"/>
  <c r="F150" i="3"/>
  <c r="H150" i="3" s="1"/>
  <c r="H185" i="3"/>
  <c r="F189" i="3"/>
  <c r="H189" i="3" s="1"/>
  <c r="H191" i="3"/>
  <c r="H159" i="3"/>
  <c r="F136" i="3"/>
  <c r="H136" i="3" s="1"/>
  <c r="H137" i="3"/>
  <c r="J137" i="3" s="1"/>
  <c r="H79" i="3"/>
  <c r="J79" i="3" s="1"/>
  <c r="H94" i="3"/>
  <c r="J94" i="3" s="1"/>
  <c r="H89" i="3"/>
  <c r="J89" i="3" s="1"/>
  <c r="J108" i="3"/>
  <c r="J56" i="3"/>
  <c r="K56" i="3" s="1"/>
  <c r="G50" i="17" s="1"/>
  <c r="F50" i="17" s="1"/>
  <c r="H170" i="2"/>
  <c r="D169" i="2"/>
  <c r="D173" i="2"/>
  <c r="H175" i="2"/>
  <c r="H202" i="2"/>
  <c r="D199" i="2"/>
  <c r="D191" i="2" s="1"/>
  <c r="D177" i="2"/>
  <c r="H178" i="2"/>
  <c r="D143" i="2"/>
  <c r="D142" i="2" s="1"/>
  <c r="K402" i="2"/>
  <c r="H403" i="2"/>
  <c r="K403" i="2"/>
  <c r="O403" i="2" s="1"/>
  <c r="K404" i="2"/>
  <c r="O404" i="2" s="1"/>
  <c r="H404" i="2"/>
  <c r="K405" i="2"/>
  <c r="O405" i="2" s="1"/>
  <c r="H405" i="2"/>
  <c r="L274" i="2"/>
  <c r="L205" i="3"/>
  <c r="L203" i="3"/>
  <c r="L208" i="3"/>
  <c r="L196" i="3"/>
  <c r="L206" i="3"/>
  <c r="L195" i="3"/>
  <c r="L204" i="3"/>
  <c r="L202" i="3"/>
  <c r="L209" i="3"/>
  <c r="L207" i="3"/>
  <c r="L194" i="3"/>
  <c r="L249" i="3"/>
  <c r="F258" i="3"/>
  <c r="H258" i="3" s="1"/>
  <c r="F72" i="3"/>
  <c r="H72" i="3" s="1"/>
  <c r="J72" i="3" s="1"/>
  <c r="K72" i="3" s="1"/>
  <c r="O277" i="2"/>
  <c r="F250" i="3"/>
  <c r="H250" i="3" s="1"/>
  <c r="J250" i="3" s="1"/>
  <c r="K250" i="3" s="1"/>
  <c r="G244" i="17" s="1"/>
  <c r="F244" i="17" s="1"/>
  <c r="K255" i="2"/>
  <c r="O255" i="2" s="1"/>
  <c r="O258" i="2"/>
  <c r="F240" i="3" s="1"/>
  <c r="F268" i="3"/>
  <c r="H268" i="3" s="1"/>
  <c r="F243" i="3"/>
  <c r="H243" i="3" s="1"/>
  <c r="J243" i="3" s="1"/>
  <c r="K243" i="3" s="1"/>
  <c r="O268" i="2"/>
  <c r="F200" i="3"/>
  <c r="H200" i="3" s="1"/>
  <c r="J200" i="3" s="1"/>
  <c r="K200" i="3" s="1"/>
  <c r="G194" i="17" s="1"/>
  <c r="F194" i="17" s="1"/>
  <c r="K261" i="2"/>
  <c r="O212" i="2"/>
  <c r="F197" i="3" s="1"/>
  <c r="H197" i="3" s="1"/>
  <c r="J197" i="3" s="1"/>
  <c r="K197" i="3" s="1"/>
  <c r="G191" i="17" s="1"/>
  <c r="F191" i="17" s="1"/>
  <c r="O228" i="2"/>
  <c r="F213" i="3" s="1"/>
  <c r="H213" i="3" s="1"/>
  <c r="J213" i="3" s="1"/>
  <c r="K213" i="3" s="1"/>
  <c r="G207" i="17" s="1"/>
  <c r="F207" i="17" s="1"/>
  <c r="E236" i="2"/>
  <c r="K268" i="2"/>
  <c r="K240" i="2"/>
  <c r="K225" i="2"/>
  <c r="K207" i="2"/>
  <c r="O213" i="2"/>
  <c r="F198" i="3" s="1"/>
  <c r="H198" i="3" s="1"/>
  <c r="J198" i="3" s="1"/>
  <c r="K198" i="3" s="1"/>
  <c r="G192" i="17" s="1"/>
  <c r="F192" i="17" s="1"/>
  <c r="K186" i="2"/>
  <c r="K182" i="2"/>
  <c r="D31" i="2"/>
  <c r="K32" i="2"/>
  <c r="K147" i="2"/>
  <c r="K175" i="2"/>
  <c r="K173" i="2" s="1"/>
  <c r="K185" i="2"/>
  <c r="K202" i="2"/>
  <c r="K199" i="2" s="1"/>
  <c r="K191" i="2" s="1"/>
  <c r="O231" i="2"/>
  <c r="F216" i="3" s="1"/>
  <c r="H216" i="3" s="1"/>
  <c r="J216" i="3" s="1"/>
  <c r="K216" i="3" s="1"/>
  <c r="G210" i="17" s="1"/>
  <c r="F210" i="17" s="1"/>
  <c r="K178" i="2"/>
  <c r="K150" i="2"/>
  <c r="L239" i="2"/>
  <c r="K170" i="2"/>
  <c r="K169" i="2" s="1"/>
  <c r="K183" i="2"/>
  <c r="D274" i="2"/>
  <c r="L66" i="3" l="1"/>
  <c r="I60" i="17" s="1"/>
  <c r="H60" i="17" s="1"/>
  <c r="G60" i="17"/>
  <c r="F60" i="17" s="1"/>
  <c r="L243" i="3"/>
  <c r="I237" i="17" s="1"/>
  <c r="G237" i="17"/>
  <c r="F237" i="17" s="1"/>
  <c r="L72" i="3"/>
  <c r="I66" i="17" s="1"/>
  <c r="H66" i="17" s="1"/>
  <c r="G66" i="17"/>
  <c r="F66" i="17" s="1"/>
  <c r="L70" i="3"/>
  <c r="I64" i="17" s="1"/>
  <c r="H64" i="17" s="1"/>
  <c r="G64" i="17"/>
  <c r="F64" i="17" s="1"/>
  <c r="J180" i="3"/>
  <c r="K180" i="3" s="1"/>
  <c r="G174" i="17" s="1"/>
  <c r="F174" i="17" s="1"/>
  <c r="J136" i="3"/>
  <c r="K136" i="3" s="1"/>
  <c r="G130" i="17" s="1"/>
  <c r="F130" i="17" s="1"/>
  <c r="J211" i="3"/>
  <c r="K211" i="3" s="1"/>
  <c r="G205" i="17" s="1"/>
  <c r="F205" i="17" s="1"/>
  <c r="J146" i="3"/>
  <c r="K146" i="3" s="1"/>
  <c r="G140" i="17" s="1"/>
  <c r="F140" i="17" s="1"/>
  <c r="J227" i="3"/>
  <c r="K227" i="3" s="1"/>
  <c r="G221" i="17" s="1"/>
  <c r="F221" i="17" s="1"/>
  <c r="J113" i="3"/>
  <c r="K113" i="3" s="1"/>
  <c r="J189" i="3"/>
  <c r="K189" i="3" s="1"/>
  <c r="G183" i="17" s="1"/>
  <c r="F183" i="17" s="1"/>
  <c r="J122" i="3"/>
  <c r="K122" i="3" s="1"/>
  <c r="J185" i="3"/>
  <c r="K185" i="3" s="1"/>
  <c r="G179" i="17" s="1"/>
  <c r="F179" i="17" s="1"/>
  <c r="J193" i="3"/>
  <c r="K193" i="3" s="1"/>
  <c r="J150" i="3"/>
  <c r="K150" i="3" s="1"/>
  <c r="G144" i="17" s="1"/>
  <c r="F144" i="17" s="1"/>
  <c r="J73" i="3"/>
  <c r="K73" i="3" s="1"/>
  <c r="J201" i="3"/>
  <c r="K201" i="3" s="1"/>
  <c r="L251" i="3"/>
  <c r="J268" i="3"/>
  <c r="K268" i="3" s="1"/>
  <c r="G262" i="17" s="1"/>
  <c r="F262" i="17" s="1"/>
  <c r="J191" i="3"/>
  <c r="J181" i="3"/>
  <c r="J148" i="3"/>
  <c r="J159" i="3"/>
  <c r="K159" i="3" s="1"/>
  <c r="G153" i="17" s="1"/>
  <c r="F153" i="17" s="1"/>
  <c r="K108" i="3"/>
  <c r="G102" i="17" s="1"/>
  <c r="F102" i="17" s="1"/>
  <c r="K94" i="3"/>
  <c r="G88" i="17" s="1"/>
  <c r="F88" i="17" s="1"/>
  <c r="K89" i="3"/>
  <c r="G83" i="17" s="1"/>
  <c r="F83" i="17" s="1"/>
  <c r="K79" i="3"/>
  <c r="G73" i="17" s="1"/>
  <c r="F73" i="17" s="1"/>
  <c r="D164" i="2"/>
  <c r="D141" i="2" s="1"/>
  <c r="K177" i="2"/>
  <c r="H191" i="2"/>
  <c r="K143" i="2"/>
  <c r="H142" i="2"/>
  <c r="O188" i="2"/>
  <c r="O161" i="2"/>
  <c r="L200" i="3"/>
  <c r="L197" i="3"/>
  <c r="L198" i="3"/>
  <c r="F237" i="3"/>
  <c r="H237" i="3" s="1"/>
  <c r="H240" i="3"/>
  <c r="J240" i="3" s="1"/>
  <c r="K240" i="3" s="1"/>
  <c r="G234" i="17" s="1"/>
  <c r="F234" i="17" s="1"/>
  <c r="J258" i="3"/>
  <c r="L236" i="2"/>
  <c r="O239" i="2"/>
  <c r="F223" i="3" s="1"/>
  <c r="F192" i="3"/>
  <c r="H192" i="3" s="1"/>
  <c r="J192" i="3" s="1"/>
  <c r="K192" i="3" s="1"/>
  <c r="G186" i="17" s="1"/>
  <c r="F186" i="17" s="1"/>
  <c r="F210" i="3"/>
  <c r="H210" i="3" s="1"/>
  <c r="J210" i="3" s="1"/>
  <c r="K210" i="3" s="1"/>
  <c r="G204" i="17" s="1"/>
  <c r="F204" i="17" s="1"/>
  <c r="O185" i="2"/>
  <c r="F170" i="3" s="1"/>
  <c r="H170" i="3" s="1"/>
  <c r="J170" i="3" s="1"/>
  <c r="K170" i="3" s="1"/>
  <c r="G164" i="17" s="1"/>
  <c r="F164" i="17" s="1"/>
  <c r="O183" i="2"/>
  <c r="F168" i="3" s="1"/>
  <c r="H168" i="3" s="1"/>
  <c r="J168" i="3" s="1"/>
  <c r="K168" i="3" s="1"/>
  <c r="G162" i="17" s="1"/>
  <c r="F162" i="17" s="1"/>
  <c r="O186" i="2"/>
  <c r="F171" i="3" s="1"/>
  <c r="H171" i="3" s="1"/>
  <c r="J171" i="3" s="1"/>
  <c r="K171" i="3" s="1"/>
  <c r="G165" i="17" s="1"/>
  <c r="F165" i="17" s="1"/>
  <c r="O182" i="2"/>
  <c r="F167" i="3" s="1"/>
  <c r="H167" i="3" s="1"/>
  <c r="J167" i="3" s="1"/>
  <c r="K167" i="3" s="1"/>
  <c r="G161" i="17" s="1"/>
  <c r="F161" i="17" s="1"/>
  <c r="O150" i="2"/>
  <c r="F135" i="3" s="1"/>
  <c r="H135" i="3" s="1"/>
  <c r="J135" i="3" s="1"/>
  <c r="K135" i="3" s="1"/>
  <c r="G129" i="17" s="1"/>
  <c r="F129" i="17" s="1"/>
  <c r="O32" i="2"/>
  <c r="F18" i="3" s="1"/>
  <c r="K31" i="2"/>
  <c r="K39" i="2" s="1"/>
  <c r="D39" i="2"/>
  <c r="O170" i="2"/>
  <c r="F155" i="3" s="1"/>
  <c r="H155" i="3" s="1"/>
  <c r="J155" i="3" s="1"/>
  <c r="O202" i="2"/>
  <c r="F187" i="3" s="1"/>
  <c r="O147" i="2"/>
  <c r="F132" i="3" s="1"/>
  <c r="O178" i="2"/>
  <c r="F163" i="3" s="1"/>
  <c r="O175" i="2"/>
  <c r="F160" i="3" s="1"/>
  <c r="L122" i="3" l="1"/>
  <c r="I116" i="17" s="1"/>
  <c r="H116" i="17" s="1"/>
  <c r="G116" i="17"/>
  <c r="F116" i="17" s="1"/>
  <c r="L201" i="3"/>
  <c r="G195" i="17"/>
  <c r="F195" i="17" s="1"/>
  <c r="L73" i="3"/>
  <c r="I67" i="17" s="1"/>
  <c r="H67" i="17" s="1"/>
  <c r="G67" i="17"/>
  <c r="F67" i="17" s="1"/>
  <c r="L113" i="3"/>
  <c r="I107" i="17" s="1"/>
  <c r="G107" i="17"/>
  <c r="F107" i="17" s="1"/>
  <c r="I230" i="17"/>
  <c r="H230" i="17" s="1"/>
  <c r="H237" i="17"/>
  <c r="L193" i="3"/>
  <c r="G187" i="17"/>
  <c r="F187" i="17" s="1"/>
  <c r="F220" i="3"/>
  <c r="H220" i="3" s="1"/>
  <c r="H223" i="3"/>
  <c r="K151" i="3"/>
  <c r="G145" i="17" s="1"/>
  <c r="F145" i="17" s="1"/>
  <c r="F154" i="3"/>
  <c r="H154" i="3" s="1"/>
  <c r="K137" i="3"/>
  <c r="G131" i="17" s="1"/>
  <c r="F131" i="17" s="1"/>
  <c r="H160" i="3"/>
  <c r="F158" i="3"/>
  <c r="H158" i="3" s="1"/>
  <c r="F162" i="3"/>
  <c r="H162" i="3" s="1"/>
  <c r="H163" i="3"/>
  <c r="K148" i="3"/>
  <c r="G142" i="17" s="1"/>
  <c r="F142" i="17" s="1"/>
  <c r="H132" i="3"/>
  <c r="F128" i="3"/>
  <c r="H187" i="3"/>
  <c r="F184" i="3"/>
  <c r="K181" i="3"/>
  <c r="G175" i="17" s="1"/>
  <c r="F175" i="17" s="1"/>
  <c r="K191" i="3"/>
  <c r="G185" i="17" s="1"/>
  <c r="F185" i="17" s="1"/>
  <c r="H164" i="2"/>
  <c r="O158" i="2"/>
  <c r="K142" i="2"/>
  <c r="K164" i="2"/>
  <c r="O192" i="2"/>
  <c r="L210" i="3"/>
  <c r="L192" i="3"/>
  <c r="I186" i="17" s="1"/>
  <c r="H186" i="17" s="1"/>
  <c r="F236" i="3"/>
  <c r="J237" i="3"/>
  <c r="H236" i="3"/>
  <c r="F17" i="3"/>
  <c r="H17" i="3" s="1"/>
  <c r="H18" i="3"/>
  <c r="K258" i="3"/>
  <c r="G252" i="17" s="1"/>
  <c r="F252" i="17" s="1"/>
  <c r="O31" i="2"/>
  <c r="J162" i="3" l="1"/>
  <c r="K162" i="3" s="1"/>
  <c r="G156" i="17" s="1"/>
  <c r="F156" i="17" s="1"/>
  <c r="J158" i="3"/>
  <c r="K158" i="3" s="1"/>
  <c r="G152" i="17" s="1"/>
  <c r="F152" i="17" s="1"/>
  <c r="J154" i="3"/>
  <c r="K154" i="3" s="1"/>
  <c r="G148" i="17" s="1"/>
  <c r="F148" i="17" s="1"/>
  <c r="J18" i="3"/>
  <c r="K18" i="3" s="1"/>
  <c r="G12" i="17" s="1"/>
  <c r="F12" i="17" s="1"/>
  <c r="J163" i="3"/>
  <c r="K163" i="3" s="1"/>
  <c r="G157" i="17" s="1"/>
  <c r="F157" i="17" s="1"/>
  <c r="F127" i="3"/>
  <c r="H127" i="3" s="1"/>
  <c r="H128" i="3"/>
  <c r="F176" i="3"/>
  <c r="H176" i="3" s="1"/>
  <c r="H184" i="3"/>
  <c r="F219" i="3"/>
  <c r="J223" i="3"/>
  <c r="K223" i="3" s="1"/>
  <c r="J220" i="3"/>
  <c r="H219" i="3"/>
  <c r="J160" i="3"/>
  <c r="F149" i="3"/>
  <c r="J187" i="3"/>
  <c r="J132" i="3"/>
  <c r="O164" i="2"/>
  <c r="O142" i="2"/>
  <c r="O155" i="2"/>
  <c r="J17" i="3"/>
  <c r="K17" i="3" s="1"/>
  <c r="K237" i="3"/>
  <c r="G231" i="17" s="1"/>
  <c r="F231" i="17" s="1"/>
  <c r="J236" i="3"/>
  <c r="D289" i="2"/>
  <c r="D291" i="2"/>
  <c r="F139" i="2"/>
  <c r="E139" i="2"/>
  <c r="E131" i="2"/>
  <c r="F134" i="2"/>
  <c r="F127" i="2"/>
  <c r="E130" i="2"/>
  <c r="D124" i="2"/>
  <c r="D122" i="2" s="1"/>
  <c r="D116" i="2"/>
  <c r="F117" i="2"/>
  <c r="F110" i="2"/>
  <c r="L223" i="3" l="1"/>
  <c r="G217" i="17"/>
  <c r="F217" i="17" s="1"/>
  <c r="N17" i="3"/>
  <c r="U26" i="8" s="1"/>
  <c r="U27" i="8" s="1"/>
  <c r="U28" i="8" s="1"/>
  <c r="U29" i="8" s="1"/>
  <c r="U30" i="8" s="1"/>
  <c r="U31" i="8" s="1"/>
  <c r="U32" i="8" s="1"/>
  <c r="U33" i="8" s="1"/>
  <c r="U34" i="8" s="1"/>
  <c r="U35" i="8" s="1"/>
  <c r="U36" i="8" s="1"/>
  <c r="U37" i="8" s="1"/>
  <c r="G11" i="17"/>
  <c r="F11" i="17" s="1"/>
  <c r="J184" i="3"/>
  <c r="K184" i="3" s="1"/>
  <c r="G178" i="17" s="1"/>
  <c r="F178" i="17" s="1"/>
  <c r="J176" i="3"/>
  <c r="K176" i="3" s="1"/>
  <c r="G170" i="17" s="1"/>
  <c r="F170" i="17" s="1"/>
  <c r="J127" i="3"/>
  <c r="K127" i="3" s="1"/>
  <c r="G121" i="17" s="1"/>
  <c r="F121" i="17" s="1"/>
  <c r="J128" i="3"/>
  <c r="K128" i="3" s="1"/>
  <c r="G122" i="17" s="1"/>
  <c r="F122" i="17" s="1"/>
  <c r="F126" i="3"/>
  <c r="H149" i="3"/>
  <c r="H126" i="3" s="1"/>
  <c r="K220" i="3"/>
  <c r="J219" i="3"/>
  <c r="K132" i="3"/>
  <c r="G126" i="17" s="1"/>
  <c r="F126" i="17" s="1"/>
  <c r="K160" i="3"/>
  <c r="G154" i="17" s="1"/>
  <c r="F154" i="17" s="1"/>
  <c r="K155" i="3"/>
  <c r="G149" i="17" s="1"/>
  <c r="F149" i="17" s="1"/>
  <c r="F108" i="2"/>
  <c r="H110" i="2"/>
  <c r="K187" i="3"/>
  <c r="G181" i="17" s="1"/>
  <c r="F181" i="17" s="1"/>
  <c r="F115" i="2"/>
  <c r="H117" i="2"/>
  <c r="H116" i="2"/>
  <c r="D115" i="2"/>
  <c r="K236" i="3"/>
  <c r="G230" i="17" s="1"/>
  <c r="F230" i="17" s="1"/>
  <c r="F131" i="2"/>
  <c r="M134" i="2"/>
  <c r="M110" i="2"/>
  <c r="K116" i="2"/>
  <c r="E127" i="2"/>
  <c r="L130" i="2"/>
  <c r="L139" i="2"/>
  <c r="F136" i="2"/>
  <c r="M139" i="2"/>
  <c r="M136" i="2" s="1"/>
  <c r="K124" i="2"/>
  <c r="D290" i="2"/>
  <c r="K291" i="2"/>
  <c r="O291" i="2" s="1"/>
  <c r="F272" i="3" s="1"/>
  <c r="H272" i="3" s="1"/>
  <c r="M117" i="2"/>
  <c r="D286" i="2"/>
  <c r="K289" i="2"/>
  <c r="O289" i="2" s="1"/>
  <c r="E136" i="2"/>
  <c r="E99" i="2"/>
  <c r="D99" i="2"/>
  <c r="D281" i="2"/>
  <c r="D277" i="2"/>
  <c r="F87" i="2"/>
  <c r="E87" i="2"/>
  <c r="E84" i="2"/>
  <c r="F86" i="2"/>
  <c r="E80" i="2"/>
  <c r="F83" i="2"/>
  <c r="F76" i="2"/>
  <c r="E79" i="2"/>
  <c r="F59" i="2"/>
  <c r="M59" i="2" s="1"/>
  <c r="E59" i="2"/>
  <c r="L59" i="2" s="1"/>
  <c r="D59" i="2"/>
  <c r="F58" i="2"/>
  <c r="E58" i="2"/>
  <c r="D57" i="2"/>
  <c r="E54" i="2"/>
  <c r="H54" i="2" s="1"/>
  <c r="E52" i="2"/>
  <c r="E53" i="2"/>
  <c r="H53" i="2" s="1"/>
  <c r="D52" i="2"/>
  <c r="D48" i="2"/>
  <c r="E47" i="2"/>
  <c r="F47" i="2"/>
  <c r="D43" i="2"/>
  <c r="D42" i="2" s="1"/>
  <c r="K219" i="3" l="1"/>
  <c r="G213" i="17" s="1"/>
  <c r="F213" i="17" s="1"/>
  <c r="G214" i="17"/>
  <c r="F214" i="17" s="1"/>
  <c r="L220" i="3"/>
  <c r="I217" i="17"/>
  <c r="H217" i="17" s="1"/>
  <c r="J272" i="3"/>
  <c r="K272" i="3" s="1"/>
  <c r="G266" i="17" s="1"/>
  <c r="F266" i="17" s="1"/>
  <c r="J149" i="3"/>
  <c r="K149" i="3" s="1"/>
  <c r="G143" i="17" s="1"/>
  <c r="F143" i="17" s="1"/>
  <c r="F120" i="17" s="1"/>
  <c r="D92" i="2"/>
  <c r="E92" i="2"/>
  <c r="D56" i="2"/>
  <c r="E56" i="2"/>
  <c r="M58" i="2"/>
  <c r="F56" i="2"/>
  <c r="H52" i="2"/>
  <c r="D51" i="2"/>
  <c r="L52" i="2"/>
  <c r="E51" i="2"/>
  <c r="L236" i="3"/>
  <c r="F270" i="3"/>
  <c r="O286" i="2"/>
  <c r="K286" i="2"/>
  <c r="K290" i="2"/>
  <c r="H127" i="2"/>
  <c r="D285" i="2"/>
  <c r="O116" i="2"/>
  <c r="F101" i="3" s="1"/>
  <c r="L58" i="2"/>
  <c r="O117" i="2"/>
  <c r="F102" i="3" s="1"/>
  <c r="H102" i="3" s="1"/>
  <c r="J102" i="3" s="1"/>
  <c r="K102" i="3" s="1"/>
  <c r="K43" i="2"/>
  <c r="K52" i="2"/>
  <c r="L54" i="2"/>
  <c r="K59" i="2"/>
  <c r="E76" i="2"/>
  <c r="L79" i="2"/>
  <c r="F84" i="2"/>
  <c r="M86" i="2"/>
  <c r="O124" i="2"/>
  <c r="F109" i="3" s="1"/>
  <c r="O110" i="2"/>
  <c r="F95" i="3" s="1"/>
  <c r="L53" i="2"/>
  <c r="K57" i="2"/>
  <c r="F80" i="2"/>
  <c r="M83" i="2"/>
  <c r="O134" i="2"/>
  <c r="F119" i="3" s="1"/>
  <c r="M131" i="2"/>
  <c r="D47" i="2"/>
  <c r="K48" i="2"/>
  <c r="O139" i="2"/>
  <c r="F124" i="3" s="1"/>
  <c r="L136" i="2"/>
  <c r="O136" i="2" s="1"/>
  <c r="L127" i="2"/>
  <c r="O130" i="2"/>
  <c r="F115" i="3" s="1"/>
  <c r="H136" i="2"/>
  <c r="D276" i="2"/>
  <c r="L219" i="3" l="1"/>
  <c r="I213" i="17" s="1"/>
  <c r="H213" i="17" s="1"/>
  <c r="I214" i="17"/>
  <c r="H214" i="17" s="1"/>
  <c r="L102" i="3"/>
  <c r="I96" i="17" s="1"/>
  <c r="H96" i="17" s="1"/>
  <c r="G96" i="17"/>
  <c r="F96" i="17" s="1"/>
  <c r="J126" i="3"/>
  <c r="D41" i="2"/>
  <c r="H101" i="3"/>
  <c r="E41" i="2"/>
  <c r="F41" i="2"/>
  <c r="H95" i="3"/>
  <c r="F112" i="3"/>
  <c r="H112" i="3" s="1"/>
  <c r="J112" i="3" s="1"/>
  <c r="K112" i="3" s="1"/>
  <c r="H115" i="3"/>
  <c r="J115" i="3" s="1"/>
  <c r="K115" i="3" s="1"/>
  <c r="F116" i="3"/>
  <c r="H116" i="3" s="1"/>
  <c r="J116" i="3" s="1"/>
  <c r="K116" i="3" s="1"/>
  <c r="H119" i="3"/>
  <c r="J119" i="3" s="1"/>
  <c r="K119" i="3" s="1"/>
  <c r="H109" i="3"/>
  <c r="F267" i="3"/>
  <c r="H267" i="3" s="1"/>
  <c r="J267" i="3" s="1"/>
  <c r="H270" i="3"/>
  <c r="F121" i="3"/>
  <c r="H121" i="3" s="1"/>
  <c r="J121" i="3" s="1"/>
  <c r="K121" i="3" s="1"/>
  <c r="H124" i="3"/>
  <c r="J124" i="3" s="1"/>
  <c r="K124" i="3" s="1"/>
  <c r="O54" i="2"/>
  <c r="F39" i="3" s="1"/>
  <c r="H39" i="3" s="1"/>
  <c r="J39" i="3" s="1"/>
  <c r="K39" i="3" s="1"/>
  <c r="G33" i="17" s="1"/>
  <c r="F33" i="17" s="1"/>
  <c r="O53" i="2"/>
  <c r="F38" i="3" s="1"/>
  <c r="H38" i="3" s="1"/>
  <c r="O59" i="2"/>
  <c r="F44" i="3" s="1"/>
  <c r="H44" i="3" s="1"/>
  <c r="J44" i="3" s="1"/>
  <c r="K44" i="3" s="1"/>
  <c r="H51" i="2"/>
  <c r="O83" i="2"/>
  <c r="F68" i="3" s="1"/>
  <c r="M80" i="2"/>
  <c r="O57" i="2"/>
  <c r="F42" i="3" s="1"/>
  <c r="H42" i="3" s="1"/>
  <c r="O52" i="2"/>
  <c r="F37" i="3" s="1"/>
  <c r="O43" i="2"/>
  <c r="F28" i="3" s="1"/>
  <c r="H28" i="3" s="1"/>
  <c r="O58" i="2"/>
  <c r="F43" i="3" s="1"/>
  <c r="H43" i="3" s="1"/>
  <c r="J43" i="3" s="1"/>
  <c r="K43" i="3" s="1"/>
  <c r="O86" i="2"/>
  <c r="F71" i="3" s="1"/>
  <c r="M84" i="2"/>
  <c r="O79" i="2"/>
  <c r="F64" i="3" s="1"/>
  <c r="L76" i="2"/>
  <c r="K47" i="2"/>
  <c r="O48" i="2"/>
  <c r="F33" i="3" s="1"/>
  <c r="L116" i="3" l="1"/>
  <c r="I110" i="17" s="1"/>
  <c r="H110" i="17" s="1"/>
  <c r="G110" i="17"/>
  <c r="F110" i="17" s="1"/>
  <c r="L44" i="3"/>
  <c r="I38" i="17" s="1"/>
  <c r="H38" i="17" s="1"/>
  <c r="G38" i="17"/>
  <c r="F38" i="17" s="1"/>
  <c r="L115" i="3"/>
  <c r="I109" i="17" s="1"/>
  <c r="G109" i="17"/>
  <c r="F109" i="17" s="1"/>
  <c r="L43" i="3"/>
  <c r="I37" i="17" s="1"/>
  <c r="H37" i="17" s="1"/>
  <c r="G37" i="17"/>
  <c r="F37" i="17" s="1"/>
  <c r="L119" i="3"/>
  <c r="I113" i="17" s="1"/>
  <c r="H113" i="17" s="1"/>
  <c r="G113" i="17"/>
  <c r="F113" i="17" s="1"/>
  <c r="L124" i="3"/>
  <c r="I118" i="17" s="1"/>
  <c r="H118" i="17" s="1"/>
  <c r="G118" i="17"/>
  <c r="F118" i="17" s="1"/>
  <c r="L121" i="3"/>
  <c r="I115" i="17" s="1"/>
  <c r="H115" i="17" s="1"/>
  <c r="G115" i="17"/>
  <c r="F115" i="17" s="1"/>
  <c r="L112" i="3"/>
  <c r="I106" i="17" s="1"/>
  <c r="H106" i="17" s="1"/>
  <c r="G106" i="17"/>
  <c r="F106" i="17" s="1"/>
  <c r="J101" i="3"/>
  <c r="K101" i="3" s="1"/>
  <c r="G95" i="17" s="1"/>
  <c r="F95" i="17" s="1"/>
  <c r="J270" i="3"/>
  <c r="K270" i="3" s="1"/>
  <c r="G264" i="17" s="1"/>
  <c r="F264" i="17" s="1"/>
  <c r="K126" i="3"/>
  <c r="G120" i="17" s="1"/>
  <c r="H41" i="2"/>
  <c r="J109" i="3"/>
  <c r="J95" i="3"/>
  <c r="J42" i="3"/>
  <c r="H37" i="3"/>
  <c r="F65" i="3"/>
  <c r="H65" i="3" s="1"/>
  <c r="J65" i="3" s="1"/>
  <c r="K65" i="3" s="1"/>
  <c r="H68" i="3"/>
  <c r="J68" i="3" s="1"/>
  <c r="K68" i="3" s="1"/>
  <c r="J38" i="3"/>
  <c r="K38" i="3" s="1"/>
  <c r="G32" i="17" s="1"/>
  <c r="F32" i="17" s="1"/>
  <c r="F32" i="3"/>
  <c r="H32" i="3" s="1"/>
  <c r="J32" i="3" s="1"/>
  <c r="K32" i="3" s="1"/>
  <c r="G26" i="17" s="1"/>
  <c r="F26" i="17" s="1"/>
  <c r="H33" i="3"/>
  <c r="F61" i="3"/>
  <c r="H61" i="3" s="1"/>
  <c r="J61" i="3" s="1"/>
  <c r="K61" i="3" s="1"/>
  <c r="H64" i="3"/>
  <c r="J64" i="3" s="1"/>
  <c r="K64" i="3" s="1"/>
  <c r="F69" i="3"/>
  <c r="H69" i="3" s="1"/>
  <c r="J69" i="3" s="1"/>
  <c r="K69" i="3" s="1"/>
  <c r="H71" i="3"/>
  <c r="J71" i="3" s="1"/>
  <c r="K71" i="3" s="1"/>
  <c r="K267" i="3"/>
  <c r="G261" i="17" s="1"/>
  <c r="F261" i="17" s="1"/>
  <c r="L69" i="3" l="1"/>
  <c r="I63" i="17" s="1"/>
  <c r="H63" i="17" s="1"/>
  <c r="G63" i="17"/>
  <c r="F63" i="17" s="1"/>
  <c r="L64" i="3"/>
  <c r="I58" i="17" s="1"/>
  <c r="H58" i="17" s="1"/>
  <c r="G58" i="17"/>
  <c r="F58" i="17" s="1"/>
  <c r="L68" i="3"/>
  <c r="I62" i="17" s="1"/>
  <c r="H62" i="17" s="1"/>
  <c r="G62" i="17"/>
  <c r="F62" i="17" s="1"/>
  <c r="L61" i="3"/>
  <c r="I55" i="17" s="1"/>
  <c r="H55" i="17" s="1"/>
  <c r="G55" i="17"/>
  <c r="F55" i="17" s="1"/>
  <c r="L71" i="3"/>
  <c r="I65" i="17" s="1"/>
  <c r="H65" i="17" s="1"/>
  <c r="G65" i="17"/>
  <c r="F65" i="17" s="1"/>
  <c r="L65" i="3"/>
  <c r="I59" i="17" s="1"/>
  <c r="H59" i="17" s="1"/>
  <c r="G59" i="17"/>
  <c r="F59" i="17" s="1"/>
  <c r="J33" i="3"/>
  <c r="K33" i="3" s="1"/>
  <c r="G27" i="17" s="1"/>
  <c r="F27" i="17" s="1"/>
  <c r="J37" i="3"/>
  <c r="K37" i="3" s="1"/>
  <c r="G31" i="17" s="1"/>
  <c r="F31" i="17" s="1"/>
  <c r="K109" i="3"/>
  <c r="G103" i="17" s="1"/>
  <c r="F103" i="17" s="1"/>
  <c r="K95" i="3"/>
  <c r="K42" i="3"/>
  <c r="G36" i="17" s="1"/>
  <c r="F36" i="17" s="1"/>
  <c r="J28" i="3"/>
  <c r="I102" i="2"/>
  <c r="F99" i="2"/>
  <c r="F92" i="2" s="1"/>
  <c r="H92" i="2" s="1"/>
  <c r="L95" i="3" l="1"/>
  <c r="I89" i="17" s="1"/>
  <c r="H89" i="17" s="1"/>
  <c r="G89" i="17"/>
  <c r="F89" i="17" s="1"/>
  <c r="K28" i="3"/>
  <c r="G22" i="17" s="1"/>
  <c r="F22" i="17" s="1"/>
  <c r="M99" i="2"/>
  <c r="O102" i="2"/>
  <c r="L293" i="2"/>
  <c r="L285" i="2" s="1"/>
  <c r="K293" i="2"/>
  <c r="K285" i="2" s="1"/>
  <c r="L284" i="2"/>
  <c r="L276" i="2" s="1"/>
  <c r="K284" i="2"/>
  <c r="K276" i="2" s="1"/>
  <c r="K252" i="2"/>
  <c r="K126" i="2"/>
  <c r="L126" i="2"/>
  <c r="K135" i="2"/>
  <c r="L135" i="2"/>
  <c r="K140" i="2"/>
  <c r="L140" i="2"/>
  <c r="K98" i="2"/>
  <c r="K93" i="2" s="1"/>
  <c r="K107" i="2"/>
  <c r="K103" i="2" s="1"/>
  <c r="L107" i="2"/>
  <c r="L103" i="2" s="1"/>
  <c r="K113" i="2"/>
  <c r="K108" i="2" s="1"/>
  <c r="L113" i="2"/>
  <c r="L108" i="2" s="1"/>
  <c r="K120" i="2"/>
  <c r="K115" i="2" s="1"/>
  <c r="L120" i="2"/>
  <c r="L115" i="2" s="1"/>
  <c r="K125" i="2"/>
  <c r="K122" i="2" s="1"/>
  <c r="L125" i="2"/>
  <c r="L122" i="2" s="1"/>
  <c r="K114" i="2"/>
  <c r="L114" i="2"/>
  <c r="K121" i="2"/>
  <c r="L121" i="2"/>
  <c r="K62" i="2"/>
  <c r="L62" i="2"/>
  <c r="K69" i="2"/>
  <c r="L69" i="2"/>
  <c r="K75" i="2"/>
  <c r="L75" i="2"/>
  <c r="K91" i="2"/>
  <c r="L91" i="2"/>
  <c r="K46" i="2"/>
  <c r="K42" i="2" s="1"/>
  <c r="K55" i="2"/>
  <c r="K51" i="2" s="1"/>
  <c r="L55" i="2"/>
  <c r="L51" i="2" s="1"/>
  <c r="K61" i="2"/>
  <c r="K56" i="2" s="1"/>
  <c r="L61" i="2"/>
  <c r="L56" i="2" s="1"/>
  <c r="K68" i="2"/>
  <c r="K63" i="2" s="1"/>
  <c r="L68" i="2"/>
  <c r="L63" i="2" s="1"/>
  <c r="K74" i="2"/>
  <c r="K70" i="2" s="1"/>
  <c r="L74" i="2"/>
  <c r="L70" i="2" s="1"/>
  <c r="N242" i="2"/>
  <c r="N253" i="2" s="1"/>
  <c r="N240" i="2"/>
  <c r="L304" i="2"/>
  <c r="K304" i="2"/>
  <c r="L308" i="2"/>
  <c r="K308" i="2"/>
  <c r="N328" i="2"/>
  <c r="G330" i="2"/>
  <c r="L92" i="2" l="1"/>
  <c r="K92" i="2"/>
  <c r="L41" i="2"/>
  <c r="K41" i="2"/>
  <c r="N331" i="2"/>
  <c r="O331" i="2" s="1"/>
  <c r="P328" i="2"/>
  <c r="F84" i="3"/>
  <c r="H84" i="3" s="1"/>
  <c r="O328" i="2"/>
  <c r="K320" i="2"/>
  <c r="L242" i="2"/>
  <c r="L253" i="2" s="1"/>
  <c r="K242" i="2"/>
  <c r="K274" i="2"/>
  <c r="L320" i="2"/>
  <c r="N294" i="2"/>
  <c r="O243" i="2"/>
  <c r="F226" i="3" s="1"/>
  <c r="H226" i="3" s="1"/>
  <c r="N234" i="2"/>
  <c r="O191" i="2" l="1"/>
  <c r="K141" i="2"/>
  <c r="O141" i="2" s="1"/>
  <c r="J226" i="3"/>
  <c r="J84" i="3"/>
  <c r="F13" i="3"/>
  <c r="K294" i="2"/>
  <c r="K253" i="2"/>
  <c r="L294" i="2"/>
  <c r="O317" i="2"/>
  <c r="F283" i="3" s="1"/>
  <c r="H283" i="3" s="1"/>
  <c r="J283" i="3" s="1"/>
  <c r="K283" i="3" s="1"/>
  <c r="G277" i="17" s="1"/>
  <c r="F277" i="17" s="1"/>
  <c r="O315" i="2"/>
  <c r="F281" i="3" s="1"/>
  <c r="H281" i="3" s="1"/>
  <c r="J281" i="3" s="1"/>
  <c r="K281" i="3" s="1"/>
  <c r="G275" i="17" s="1"/>
  <c r="F275" i="17" s="1"/>
  <c r="N311" i="2"/>
  <c r="N310" i="2"/>
  <c r="N309" i="2"/>
  <c r="N306" i="2"/>
  <c r="N307" i="2"/>
  <c r="N305" i="2"/>
  <c r="M293" i="2"/>
  <c r="M285" i="2" s="1"/>
  <c r="O290" i="2"/>
  <c r="M284" i="2"/>
  <c r="M276" i="2" s="1"/>
  <c r="O281" i="2"/>
  <c r="M311" i="2"/>
  <c r="M310" i="2"/>
  <c r="M309" i="2"/>
  <c r="M307" i="2"/>
  <c r="M306" i="2"/>
  <c r="M305" i="2"/>
  <c r="M275" i="2"/>
  <c r="M235" i="2"/>
  <c r="O195" i="2"/>
  <c r="O169" i="2"/>
  <c r="O125" i="2"/>
  <c r="F110" i="3" s="1"/>
  <c r="M120" i="2"/>
  <c r="M115" i="2" s="1"/>
  <c r="M113" i="2"/>
  <c r="M108" i="2" s="1"/>
  <c r="O98" i="2"/>
  <c r="F83" i="3" s="1"/>
  <c r="M140" i="2"/>
  <c r="M135" i="2"/>
  <c r="O131" i="2"/>
  <c r="M126" i="2"/>
  <c r="M121" i="2"/>
  <c r="O121" i="2" s="1"/>
  <c r="F106" i="3" s="1"/>
  <c r="H106" i="3" s="1"/>
  <c r="M114" i="2"/>
  <c r="O103" i="2"/>
  <c r="O74" i="2"/>
  <c r="F59" i="3" s="1"/>
  <c r="M68" i="2"/>
  <c r="M61" i="2"/>
  <c r="O55" i="2"/>
  <c r="F40" i="3" s="1"/>
  <c r="O46" i="2"/>
  <c r="F31" i="3" s="1"/>
  <c r="M91" i="2"/>
  <c r="O91" i="2" s="1"/>
  <c r="F76" i="3" s="1"/>
  <c r="H76" i="3" s="1"/>
  <c r="J76" i="3" s="1"/>
  <c r="K76" i="3" s="1"/>
  <c r="G70" i="17" s="1"/>
  <c r="F70" i="17" s="1"/>
  <c r="O87" i="2"/>
  <c r="O84" i="2"/>
  <c r="O80" i="2"/>
  <c r="O76" i="2"/>
  <c r="M75" i="2"/>
  <c r="O75" i="2" s="1"/>
  <c r="F60" i="3" s="1"/>
  <c r="H60" i="3" s="1"/>
  <c r="J60" i="3" s="1"/>
  <c r="K60" i="3" s="1"/>
  <c r="O70" i="2"/>
  <c r="M69" i="2"/>
  <c r="O69" i="2" s="1"/>
  <c r="F54" i="3" s="1"/>
  <c r="H54" i="3" s="1"/>
  <c r="J54" i="3" s="1"/>
  <c r="K54" i="3" s="1"/>
  <c r="M62" i="2"/>
  <c r="O51" i="2"/>
  <c r="O47" i="2"/>
  <c r="H252" i="2"/>
  <c r="H243" i="2"/>
  <c r="H204" i="2"/>
  <c r="H199" i="2"/>
  <c r="H195" i="2"/>
  <c r="H177" i="2"/>
  <c r="H173" i="2"/>
  <c r="H169" i="2"/>
  <c r="H165" i="2"/>
  <c r="H143" i="2"/>
  <c r="L60" i="3" l="1"/>
  <c r="I54" i="17" s="1"/>
  <c r="H54" i="17" s="1"/>
  <c r="G54" i="17"/>
  <c r="F54" i="17" s="1"/>
  <c r="L54" i="3"/>
  <c r="I48" i="17" s="1"/>
  <c r="H48" i="17" s="1"/>
  <c r="G48" i="17"/>
  <c r="F48" i="17" s="1"/>
  <c r="F14" i="3"/>
  <c r="H13" i="3"/>
  <c r="J13" i="3" s="1"/>
  <c r="M92" i="2"/>
  <c r="O92" i="2" s="1"/>
  <c r="H110" i="3"/>
  <c r="F107" i="3"/>
  <c r="H107" i="3" s="1"/>
  <c r="H83" i="3"/>
  <c r="J83" i="3" s="1"/>
  <c r="F78" i="3"/>
  <c r="H78" i="3" s="1"/>
  <c r="H59" i="3"/>
  <c r="F55" i="3"/>
  <c r="H55" i="3" s="1"/>
  <c r="H40" i="3"/>
  <c r="F36" i="3"/>
  <c r="H36" i="3" s="1"/>
  <c r="H31" i="3"/>
  <c r="F27" i="3"/>
  <c r="H27" i="3" s="1"/>
  <c r="O68" i="2"/>
  <c r="F53" i="3" s="1"/>
  <c r="M63" i="2"/>
  <c r="O61" i="2"/>
  <c r="F46" i="3" s="1"/>
  <c r="M56" i="2"/>
  <c r="O314" i="2"/>
  <c r="P314" i="2"/>
  <c r="O313" i="2"/>
  <c r="P313" i="2"/>
  <c r="K84" i="3"/>
  <c r="G78" i="17" s="1"/>
  <c r="F78" i="17" s="1"/>
  <c r="J106" i="3"/>
  <c r="K106" i="3" s="1"/>
  <c r="K226" i="3"/>
  <c r="O261" i="2"/>
  <c r="O274" i="2" s="1"/>
  <c r="N308" i="2"/>
  <c r="P308" i="2" s="1"/>
  <c r="O252" i="2"/>
  <c r="F235" i="3" s="1"/>
  <c r="M242" i="2"/>
  <c r="O293" i="2"/>
  <c r="F274" i="3" s="1"/>
  <c r="O62" i="2"/>
  <c r="F47" i="3" s="1"/>
  <c r="H253" i="2"/>
  <c r="O284" i="2"/>
  <c r="F265" i="3" s="1"/>
  <c r="O305" i="2"/>
  <c r="F289" i="3" s="1"/>
  <c r="H289" i="3" s="1"/>
  <c r="O310" i="2"/>
  <c r="F294" i="3" s="1"/>
  <c r="H294" i="3" s="1"/>
  <c r="O306" i="2"/>
  <c r="F290" i="3" s="1"/>
  <c r="H290" i="3" s="1"/>
  <c r="J290" i="3" s="1"/>
  <c r="K290" i="3" s="1"/>
  <c r="G284" i="17" s="1"/>
  <c r="F284" i="17" s="1"/>
  <c r="O311" i="2"/>
  <c r="F295" i="3" s="1"/>
  <c r="H295" i="3" s="1"/>
  <c r="J295" i="3" s="1"/>
  <c r="K295" i="3" s="1"/>
  <c r="G289" i="17" s="1"/>
  <c r="F289" i="17" s="1"/>
  <c r="O307" i="2"/>
  <c r="F291" i="3" s="1"/>
  <c r="H291" i="3" s="1"/>
  <c r="J291" i="3" s="1"/>
  <c r="K291" i="3" s="1"/>
  <c r="G285" i="17" s="1"/>
  <c r="F285" i="17" s="1"/>
  <c r="O309" i="2"/>
  <c r="F293" i="3" s="1"/>
  <c r="H293" i="3" s="1"/>
  <c r="N304" i="2"/>
  <c r="P304" i="2" s="1"/>
  <c r="O215" i="2"/>
  <c r="O42" i="2"/>
  <c r="O151" i="2"/>
  <c r="O120" i="2"/>
  <c r="F105" i="3" s="1"/>
  <c r="O140" i="2"/>
  <c r="F125" i="3" s="1"/>
  <c r="H125" i="3" s="1"/>
  <c r="J125" i="3" s="1"/>
  <c r="K125" i="3" s="1"/>
  <c r="G119" i="17" s="1"/>
  <c r="F119" i="17" s="1"/>
  <c r="O127" i="2"/>
  <c r="O115" i="2"/>
  <c r="O99" i="2"/>
  <c r="O225" i="2"/>
  <c r="M308" i="2"/>
  <c r="O204" i="2"/>
  <c r="O177" i="2"/>
  <c r="O165" i="2"/>
  <c r="O113" i="2"/>
  <c r="F98" i="3" s="1"/>
  <c r="O126" i="2"/>
  <c r="F111" i="3" s="1"/>
  <c r="H111" i="3" s="1"/>
  <c r="O114" i="2"/>
  <c r="F99" i="3" s="1"/>
  <c r="H99" i="3" s="1"/>
  <c r="O93" i="2"/>
  <c r="M240" i="2"/>
  <c r="M304" i="2"/>
  <c r="O199" i="2"/>
  <c r="O173" i="2"/>
  <c r="O143" i="2"/>
  <c r="O107" i="2"/>
  <c r="F92" i="3" s="1"/>
  <c r="O135" i="2"/>
  <c r="F120" i="3" s="1"/>
  <c r="H120" i="3" s="1"/>
  <c r="J120" i="3" s="1"/>
  <c r="K120" i="3" s="1"/>
  <c r="O122" i="2"/>
  <c r="O108" i="2"/>
  <c r="O207" i="2"/>
  <c r="L226" i="3" l="1"/>
  <c r="I220" i="17" s="1"/>
  <c r="G220" i="17"/>
  <c r="F220" i="17" s="1"/>
  <c r="L106" i="3"/>
  <c r="I100" i="17" s="1"/>
  <c r="H100" i="17" s="1"/>
  <c r="G100" i="17"/>
  <c r="F100" i="17" s="1"/>
  <c r="L120" i="3"/>
  <c r="I114" i="17" s="1"/>
  <c r="H114" i="17" s="1"/>
  <c r="G114" i="17"/>
  <c r="F114" i="17" s="1"/>
  <c r="J78" i="3"/>
  <c r="K78" i="3" s="1"/>
  <c r="G72" i="17" s="1"/>
  <c r="F72" i="17" s="1"/>
  <c r="J27" i="3"/>
  <c r="K27" i="3" s="1"/>
  <c r="G21" i="17" s="1"/>
  <c r="F21" i="17" s="1"/>
  <c r="J111" i="3"/>
  <c r="K111" i="3" s="1"/>
  <c r="J107" i="3"/>
  <c r="K107" i="3" s="1"/>
  <c r="G101" i="17" s="1"/>
  <c r="F101" i="17" s="1"/>
  <c r="J36" i="3"/>
  <c r="K36" i="3" s="1"/>
  <c r="G30" i="17" s="1"/>
  <c r="F30" i="17" s="1"/>
  <c r="J55" i="3"/>
  <c r="K55" i="3" s="1"/>
  <c r="G49" i="17" s="1"/>
  <c r="F49" i="17" s="1"/>
  <c r="H14" i="3"/>
  <c r="H12" i="3" s="1"/>
  <c r="F12" i="3"/>
  <c r="F262" i="3"/>
  <c r="F257" i="3" s="1"/>
  <c r="H265" i="3"/>
  <c r="F271" i="3"/>
  <c r="F266" i="3" s="1"/>
  <c r="H274" i="3"/>
  <c r="J274" i="3" s="1"/>
  <c r="K274" i="3" s="1"/>
  <c r="G268" i="17" s="1"/>
  <c r="F268" i="17" s="1"/>
  <c r="J110" i="3"/>
  <c r="K110" i="3" s="1"/>
  <c r="G104" i="17" s="1"/>
  <c r="F104" i="17" s="1"/>
  <c r="J59" i="3"/>
  <c r="K59" i="3" s="1"/>
  <c r="G53" i="17" s="1"/>
  <c r="F53" i="17" s="1"/>
  <c r="H92" i="3"/>
  <c r="F88" i="3"/>
  <c r="H88" i="3" s="1"/>
  <c r="H98" i="3"/>
  <c r="J98" i="3" s="1"/>
  <c r="F93" i="3"/>
  <c r="H93" i="3" s="1"/>
  <c r="H105" i="3"/>
  <c r="F100" i="3"/>
  <c r="H100" i="3" s="1"/>
  <c r="J40" i="3"/>
  <c r="K83" i="3"/>
  <c r="G77" i="17" s="1"/>
  <c r="F77" i="17" s="1"/>
  <c r="H53" i="3"/>
  <c r="J53" i="3" s="1"/>
  <c r="F48" i="3"/>
  <c r="H48" i="3" s="1"/>
  <c r="H46" i="3"/>
  <c r="F41" i="3"/>
  <c r="H41" i="3" s="1"/>
  <c r="J31" i="3"/>
  <c r="M41" i="2"/>
  <c r="O41" i="2" s="1"/>
  <c r="O63" i="2"/>
  <c r="O56" i="2"/>
  <c r="M253" i="2"/>
  <c r="O242" i="2"/>
  <c r="J293" i="3"/>
  <c r="H292" i="3"/>
  <c r="J294" i="3"/>
  <c r="K294" i="3" s="1"/>
  <c r="G288" i="17" s="1"/>
  <c r="F288" i="17" s="1"/>
  <c r="J99" i="3"/>
  <c r="H47" i="3"/>
  <c r="J289" i="3"/>
  <c r="H288" i="3"/>
  <c r="F225" i="3"/>
  <c r="H235" i="3"/>
  <c r="K13" i="3"/>
  <c r="F288" i="3"/>
  <c r="O276" i="2"/>
  <c r="F292" i="3"/>
  <c r="O285" i="2"/>
  <c r="M320" i="2"/>
  <c r="O304" i="2"/>
  <c r="O308" i="2"/>
  <c r="M294" i="2"/>
  <c r="L111" i="3" l="1"/>
  <c r="I105" i="17" s="1"/>
  <c r="H105" i="17" s="1"/>
  <c r="G105" i="17"/>
  <c r="F105" i="17" s="1"/>
  <c r="H220" i="17"/>
  <c r="N13" i="3"/>
  <c r="U25" i="8" s="1"/>
  <c r="G7" i="17"/>
  <c r="F7" i="17" s="1"/>
  <c r="J14" i="3"/>
  <c r="J12" i="3" s="1"/>
  <c r="J88" i="3"/>
  <c r="K88" i="3" s="1"/>
  <c r="G82" i="17" s="1"/>
  <c r="F82" i="17" s="1"/>
  <c r="J48" i="3"/>
  <c r="K48" i="3" s="1"/>
  <c r="J100" i="3"/>
  <c r="K100" i="3" s="1"/>
  <c r="J41" i="3"/>
  <c r="K41" i="3" s="1"/>
  <c r="J93" i="3"/>
  <c r="K93" i="3" s="1"/>
  <c r="F296" i="3"/>
  <c r="H262" i="3"/>
  <c r="H257" i="3" s="1"/>
  <c r="H271" i="3"/>
  <c r="H266" i="3" s="1"/>
  <c r="J265" i="3"/>
  <c r="K265" i="3" s="1"/>
  <c r="G259" i="17" s="1"/>
  <c r="F259" i="17" s="1"/>
  <c r="F26" i="3"/>
  <c r="F77" i="3"/>
  <c r="K40" i="3"/>
  <c r="G34" i="17" s="1"/>
  <c r="F34" i="17" s="1"/>
  <c r="J92" i="3"/>
  <c r="J105" i="3"/>
  <c r="H77" i="3"/>
  <c r="K98" i="3"/>
  <c r="G92" i="17" s="1"/>
  <c r="F92" i="17" s="1"/>
  <c r="H26" i="3"/>
  <c r="J46" i="3"/>
  <c r="K46" i="3" s="1"/>
  <c r="G40" i="17" s="1"/>
  <c r="F40" i="17" s="1"/>
  <c r="K53" i="3"/>
  <c r="G47" i="17" s="1"/>
  <c r="F47" i="17" s="1"/>
  <c r="K31" i="3"/>
  <c r="G25" i="17" s="1"/>
  <c r="F25" i="17" s="1"/>
  <c r="K99" i="3"/>
  <c r="K293" i="3"/>
  <c r="G287" i="17" s="1"/>
  <c r="F287" i="17" s="1"/>
  <c r="J292" i="3"/>
  <c r="J262" i="3"/>
  <c r="J235" i="3"/>
  <c r="H225" i="3"/>
  <c r="K289" i="3"/>
  <c r="G283" i="17" s="1"/>
  <c r="F283" i="17" s="1"/>
  <c r="J288" i="3"/>
  <c r="J47" i="3"/>
  <c r="O294" i="2"/>
  <c r="O253" i="2"/>
  <c r="L99" i="3" l="1"/>
  <c r="I93" i="17" s="1"/>
  <c r="H93" i="17" s="1"/>
  <c r="G93" i="17"/>
  <c r="F93" i="17" s="1"/>
  <c r="L41" i="3"/>
  <c r="I35" i="17" s="1"/>
  <c r="G35" i="17"/>
  <c r="F35" i="17" s="1"/>
  <c r="L100" i="3"/>
  <c r="I94" i="17" s="1"/>
  <c r="H94" i="17" s="1"/>
  <c r="G94" i="17"/>
  <c r="F94" i="17" s="1"/>
  <c r="L48" i="3"/>
  <c r="I42" i="17" s="1"/>
  <c r="H42" i="17" s="1"/>
  <c r="G42" i="17"/>
  <c r="F42" i="17" s="1"/>
  <c r="L93" i="3"/>
  <c r="I87" i="17" s="1"/>
  <c r="H87" i="17" s="1"/>
  <c r="G87" i="17"/>
  <c r="F87" i="17" s="1"/>
  <c r="K14" i="3"/>
  <c r="G8" i="17" s="1"/>
  <c r="F8" i="17" s="1"/>
  <c r="F6" i="17" s="1"/>
  <c r="H296" i="3"/>
  <c r="F287" i="3"/>
  <c r="J271" i="3"/>
  <c r="J266" i="3" s="1"/>
  <c r="J77" i="3"/>
  <c r="K92" i="3"/>
  <c r="G86" i="17" s="1"/>
  <c r="F86" i="17" s="1"/>
  <c r="K105" i="3"/>
  <c r="G99" i="17" s="1"/>
  <c r="F99" i="17" s="1"/>
  <c r="J26" i="3"/>
  <c r="K288" i="3"/>
  <c r="G282" i="17" s="1"/>
  <c r="F282" i="17" s="1"/>
  <c r="K292" i="3"/>
  <c r="G286" i="17" s="1"/>
  <c r="F286" i="17" s="1"/>
  <c r="K47" i="3"/>
  <c r="K235" i="3"/>
  <c r="G229" i="17" s="1"/>
  <c r="F229" i="17" s="1"/>
  <c r="J225" i="3"/>
  <c r="K262" i="3"/>
  <c r="G256" i="17" s="1"/>
  <c r="F256" i="17" s="1"/>
  <c r="J257" i="3"/>
  <c r="H307" i="2"/>
  <c r="H306" i="2"/>
  <c r="H305" i="2"/>
  <c r="H309" i="2"/>
  <c r="H310" i="2"/>
  <c r="H311" i="2"/>
  <c r="G308" i="2"/>
  <c r="G304" i="2"/>
  <c r="K12" i="3" l="1"/>
  <c r="F71" i="17"/>
  <c r="L47" i="3"/>
  <c r="I41" i="17" s="1"/>
  <c r="H41" i="17" s="1"/>
  <c r="G41" i="17"/>
  <c r="F41" i="17" s="1"/>
  <c r="F20" i="17"/>
  <c r="H35" i="17"/>
  <c r="I20" i="17"/>
  <c r="L12" i="8"/>
  <c r="G6" i="17"/>
  <c r="K271" i="3"/>
  <c r="J296" i="3"/>
  <c r="H287" i="3"/>
  <c r="K26" i="3"/>
  <c r="G20" i="17" s="1"/>
  <c r="K225" i="3"/>
  <c r="G219" i="17" s="1"/>
  <c r="F219" i="17" s="1"/>
  <c r="L235" i="3"/>
  <c r="I229" i="17" s="1"/>
  <c r="I219" i="17" s="1"/>
  <c r="H219" i="17" s="1"/>
  <c r="K257" i="3"/>
  <c r="G251" i="17" s="1"/>
  <c r="F251" i="17" s="1"/>
  <c r="H308" i="2"/>
  <c r="H304" i="2"/>
  <c r="H293" i="2"/>
  <c r="H290" i="2"/>
  <c r="H286" i="2"/>
  <c r="H281" i="2"/>
  <c r="H284" i="2"/>
  <c r="H277" i="2"/>
  <c r="H99" i="2"/>
  <c r="H103" i="2"/>
  <c r="H108" i="2"/>
  <c r="H114" i="2"/>
  <c r="H115" i="2"/>
  <c r="H121" i="2"/>
  <c r="H122" i="2"/>
  <c r="H126" i="2"/>
  <c r="H131" i="2"/>
  <c r="H135" i="2"/>
  <c r="H140" i="2"/>
  <c r="H98" i="2"/>
  <c r="H107" i="2"/>
  <c r="H113" i="2"/>
  <c r="H120" i="2"/>
  <c r="H125" i="2"/>
  <c r="H93" i="2"/>
  <c r="H74" i="2"/>
  <c r="H47" i="2"/>
  <c r="H56" i="2"/>
  <c r="H62" i="2"/>
  <c r="H63" i="2"/>
  <c r="H69" i="2"/>
  <c r="H70" i="2"/>
  <c r="H75" i="2"/>
  <c r="H76" i="2"/>
  <c r="H80" i="2"/>
  <c r="H84" i="2"/>
  <c r="H87" i="2"/>
  <c r="H91" i="2"/>
  <c r="H46" i="2"/>
  <c r="H55" i="2"/>
  <c r="H61" i="2"/>
  <c r="H68" i="2"/>
  <c r="H42" i="2"/>
  <c r="K266" i="3" l="1"/>
  <c r="G260" i="17" s="1"/>
  <c r="F260" i="17" s="1"/>
  <c r="G265" i="17"/>
  <c r="F265" i="17" s="1"/>
  <c r="H20" i="17"/>
  <c r="K296" i="3"/>
  <c r="G290" i="17" s="1"/>
  <c r="F290" i="17" s="1"/>
  <c r="J287" i="3"/>
  <c r="K77" i="3"/>
  <c r="G71" i="17" s="1"/>
  <c r="L26" i="3"/>
  <c r="L225" i="3"/>
  <c r="H276" i="2"/>
  <c r="H285" i="2"/>
  <c r="K287" i="3" l="1"/>
  <c r="L77" i="3"/>
  <c r="K12" i="8"/>
  <c r="M12" i="8"/>
  <c r="N12" i="8" s="1"/>
  <c r="G398" i="2"/>
  <c r="H398" i="2" s="1"/>
  <c r="G397" i="2"/>
  <c r="H397" i="2" s="1"/>
  <c r="G390" i="2"/>
  <c r="G363" i="2"/>
  <c r="H363" i="2" s="1"/>
  <c r="G361" i="2"/>
  <c r="G388" i="2" s="1"/>
  <c r="H388" i="2" s="1"/>
  <c r="G360" i="2"/>
  <c r="G387" i="2" s="1"/>
  <c r="D355" i="2"/>
  <c r="D354" i="2"/>
  <c r="G353" i="2"/>
  <c r="G380" i="2" s="1"/>
  <c r="H380" i="2" s="1"/>
  <c r="G352" i="2"/>
  <c r="G379" i="2" s="1"/>
  <c r="H379" i="2" s="1"/>
  <c r="G348" i="2"/>
  <c r="D346" i="2"/>
  <c r="E345" i="2"/>
  <c r="E370" i="2" s="1"/>
  <c r="D345" i="2"/>
  <c r="E344" i="2"/>
  <c r="E369" i="2" s="1"/>
  <c r="D344" i="2"/>
  <c r="D343" i="2"/>
  <c r="H341" i="2"/>
  <c r="G341" i="2"/>
  <c r="H330" i="2"/>
  <c r="H329" i="2"/>
  <c r="H328" i="2"/>
  <c r="H327" i="2"/>
  <c r="H326" i="2"/>
  <c r="G319" i="2"/>
  <c r="G318" i="2"/>
  <c r="H317" i="2"/>
  <c r="G316" i="2"/>
  <c r="H315" i="2"/>
  <c r="H314" i="2"/>
  <c r="H313" i="2"/>
  <c r="G312" i="2"/>
  <c r="G299" i="2"/>
  <c r="F299" i="2"/>
  <c r="H268" i="2"/>
  <c r="H261" i="2"/>
  <c r="H255" i="2"/>
  <c r="F253" i="2"/>
  <c r="E253" i="2"/>
  <c r="D253" i="2"/>
  <c r="F240" i="2"/>
  <c r="F234" i="2"/>
  <c r="E234" i="2"/>
  <c r="E401" i="2" s="1"/>
  <c r="H225" i="2"/>
  <c r="H207" i="2"/>
  <c r="G38" i="2"/>
  <c r="G37" i="2"/>
  <c r="H34" i="2"/>
  <c r="H31" i="2"/>
  <c r="L286" i="3" l="1"/>
  <c r="L15" i="3" s="1"/>
  <c r="I71" i="17"/>
  <c r="G281" i="17"/>
  <c r="F281" i="17" s="1"/>
  <c r="L401" i="2"/>
  <c r="N312" i="2"/>
  <c r="G320" i="2"/>
  <c r="H390" i="2"/>
  <c r="I390" i="2"/>
  <c r="H387" i="2"/>
  <c r="I387" i="2"/>
  <c r="D369" i="2"/>
  <c r="H369" i="2" s="1"/>
  <c r="D376" i="2"/>
  <c r="D371" i="2"/>
  <c r="H355" i="2"/>
  <c r="D368" i="2"/>
  <c r="H274" i="2"/>
  <c r="G39" i="2"/>
  <c r="G295" i="2" s="1"/>
  <c r="G301" i="2" s="1"/>
  <c r="H318" i="2"/>
  <c r="N318" i="2"/>
  <c r="P318" i="2" s="1"/>
  <c r="G349" i="2"/>
  <c r="H349" i="2" s="1"/>
  <c r="N37" i="2"/>
  <c r="P37" i="2" s="1"/>
  <c r="G350" i="2"/>
  <c r="G374" i="2" s="1"/>
  <c r="H374" i="2" s="1"/>
  <c r="N38" i="2"/>
  <c r="G358" i="2"/>
  <c r="G385" i="2" s="1"/>
  <c r="H385" i="2" s="1"/>
  <c r="N319" i="2"/>
  <c r="P319" i="2" s="1"/>
  <c r="H316" i="2"/>
  <c r="N316" i="2"/>
  <c r="G357" i="2"/>
  <c r="G383" i="2" s="1"/>
  <c r="H383" i="2" s="1"/>
  <c r="H38" i="2"/>
  <c r="H37" i="2"/>
  <c r="H312" i="2"/>
  <c r="G351" i="2"/>
  <c r="G378" i="2" s="1"/>
  <c r="H378" i="2" s="1"/>
  <c r="F295" i="2"/>
  <c r="F301" i="2" s="1"/>
  <c r="F321" i="2" s="1"/>
  <c r="F332" i="2" s="1"/>
  <c r="F334" i="2" s="1"/>
  <c r="F335" i="2" s="1"/>
  <c r="F336" i="2" s="1"/>
  <c r="F337" i="2" s="1"/>
  <c r="H319" i="2"/>
  <c r="H345" i="2"/>
  <c r="D370" i="2"/>
  <c r="G362" i="2"/>
  <c r="H362" i="2" s="1"/>
  <c r="G331" i="2"/>
  <c r="H344" i="2"/>
  <c r="G356" i="2"/>
  <c r="H346" i="2"/>
  <c r="H348" i="2"/>
  <c r="H352" i="2"/>
  <c r="H354" i="2"/>
  <c r="H360" i="2"/>
  <c r="G375" i="2"/>
  <c r="H375" i="2" s="1"/>
  <c r="D377" i="2"/>
  <c r="G389" i="2"/>
  <c r="H353" i="2"/>
  <c r="H361" i="2"/>
  <c r="G170" i="1"/>
  <c r="H170" i="1" s="1"/>
  <c r="G169" i="1"/>
  <c r="H169" i="1" s="1"/>
  <c r="G162" i="1"/>
  <c r="H162" i="1" s="1"/>
  <c r="G135" i="1"/>
  <c r="H135" i="1" s="1"/>
  <c r="G133" i="1"/>
  <c r="G160" i="1" s="1"/>
  <c r="H160" i="1" s="1"/>
  <c r="G132" i="1"/>
  <c r="G159" i="1" s="1"/>
  <c r="H159" i="1" s="1"/>
  <c r="D127" i="1"/>
  <c r="H127" i="1" s="1"/>
  <c r="D126" i="1"/>
  <c r="D148" i="1" s="1"/>
  <c r="H148" i="1" s="1"/>
  <c r="G125" i="1"/>
  <c r="G152" i="1" s="1"/>
  <c r="H152" i="1" s="1"/>
  <c r="G124" i="1"/>
  <c r="G151" i="1" s="1"/>
  <c r="H151" i="1" s="1"/>
  <c r="G120" i="1"/>
  <c r="D118" i="1"/>
  <c r="D143" i="1" s="1"/>
  <c r="H143" i="1" s="1"/>
  <c r="E117" i="1"/>
  <c r="E142" i="1" s="1"/>
  <c r="D117" i="1"/>
  <c r="D142" i="1" s="1"/>
  <c r="E116" i="1"/>
  <c r="E141" i="1" s="1"/>
  <c r="D116" i="1"/>
  <c r="D141" i="1" s="1"/>
  <c r="E115" i="1"/>
  <c r="E140" i="1" s="1"/>
  <c r="D115" i="1"/>
  <c r="H113" i="1"/>
  <c r="G113" i="1"/>
  <c r="G102" i="1"/>
  <c r="H102" i="1" s="1"/>
  <c r="H101" i="1"/>
  <c r="H100" i="1"/>
  <c r="H99" i="1"/>
  <c r="H98" i="1"/>
  <c r="G91" i="1"/>
  <c r="G130" i="1" s="1"/>
  <c r="G157" i="1" s="1"/>
  <c r="H157" i="1" s="1"/>
  <c r="G89" i="1"/>
  <c r="H89" i="1" s="1"/>
  <c r="H88" i="1"/>
  <c r="G86" i="1"/>
  <c r="H85" i="1"/>
  <c r="H84" i="1"/>
  <c r="H83" i="1"/>
  <c r="G82" i="1"/>
  <c r="H82" i="1" s="1"/>
  <c r="H80" i="1"/>
  <c r="H79" i="1"/>
  <c r="H78" i="1"/>
  <c r="G73" i="1"/>
  <c r="F73" i="1"/>
  <c r="D60" i="1"/>
  <c r="H59" i="1"/>
  <c r="H58" i="1"/>
  <c r="F56" i="1"/>
  <c r="E56" i="1"/>
  <c r="D56" i="1"/>
  <c r="H55" i="1"/>
  <c r="H54" i="1"/>
  <c r="H53" i="1"/>
  <c r="F50" i="1"/>
  <c r="E50" i="1"/>
  <c r="D50" i="1"/>
  <c r="H49" i="1"/>
  <c r="H50" i="1" s="1"/>
  <c r="F47" i="1"/>
  <c r="E47" i="1"/>
  <c r="D47" i="1"/>
  <c r="H46" i="1"/>
  <c r="H47" i="1" s="1"/>
  <c r="F44" i="1"/>
  <c r="E44" i="1"/>
  <c r="D44" i="1"/>
  <c r="H43" i="1"/>
  <c r="H42" i="1"/>
  <c r="H41" i="1"/>
  <c r="H40" i="1"/>
  <c r="H39" i="1"/>
  <c r="H38" i="1"/>
  <c r="F36" i="1"/>
  <c r="E36" i="1"/>
  <c r="D36" i="1"/>
  <c r="G35" i="1"/>
  <c r="G122" i="1" s="1"/>
  <c r="G34" i="1"/>
  <c r="G121" i="1" s="1"/>
  <c r="H32" i="1"/>
  <c r="H31" i="1"/>
  <c r="H71" i="17" l="1"/>
  <c r="I280" i="17"/>
  <c r="I9" i="17" s="1"/>
  <c r="O312" i="2"/>
  <c r="F275" i="3" s="1"/>
  <c r="H275" i="3" s="1"/>
  <c r="J275" i="3" s="1"/>
  <c r="P312" i="2"/>
  <c r="O316" i="2"/>
  <c r="F282" i="3" s="1"/>
  <c r="H282" i="3" s="1"/>
  <c r="J282" i="3" s="1"/>
  <c r="K282" i="3" s="1"/>
  <c r="G276" i="17" s="1"/>
  <c r="F276" i="17" s="1"/>
  <c r="P316" i="2"/>
  <c r="O38" i="2"/>
  <c r="F24" i="3" s="1"/>
  <c r="H24" i="3" s="1"/>
  <c r="J24" i="3" s="1"/>
  <c r="K24" i="3" s="1"/>
  <c r="G18" i="17" s="1"/>
  <c r="F18" i="17" s="1"/>
  <c r="P38" i="2"/>
  <c r="H389" i="2"/>
  <c r="I389" i="2"/>
  <c r="H115" i="1"/>
  <c r="H142" i="1"/>
  <c r="J47" i="1"/>
  <c r="H34" i="1"/>
  <c r="G123" i="1"/>
  <c r="G150" i="1" s="1"/>
  <c r="H150" i="1" s="1"/>
  <c r="J36" i="1"/>
  <c r="I36" i="1"/>
  <c r="H44" i="1"/>
  <c r="H56" i="1"/>
  <c r="D64" i="1"/>
  <c r="D71" i="1" s="1"/>
  <c r="D73" i="1" s="1"/>
  <c r="J64" i="1"/>
  <c r="J65" i="1" s="1"/>
  <c r="J60" i="1"/>
  <c r="K60" i="1" s="1"/>
  <c r="I44" i="1"/>
  <c r="J44" i="1"/>
  <c r="J50" i="1"/>
  <c r="I50" i="1"/>
  <c r="K64" i="1"/>
  <c r="K65" i="1" s="1"/>
  <c r="J56" i="1"/>
  <c r="L56" i="1" s="1"/>
  <c r="K56" i="1"/>
  <c r="G92" i="1"/>
  <c r="O318" i="2"/>
  <c r="F284" i="3" s="1"/>
  <c r="H284" i="3" s="1"/>
  <c r="J284" i="3" s="1"/>
  <c r="K284" i="3" s="1"/>
  <c r="G278" i="17" s="1"/>
  <c r="F278" i="17" s="1"/>
  <c r="N320" i="2"/>
  <c r="H377" i="2"/>
  <c r="H370" i="2"/>
  <c r="H371" i="2"/>
  <c r="H376" i="2"/>
  <c r="H39" i="2"/>
  <c r="H350" i="2"/>
  <c r="H351" i="2"/>
  <c r="G373" i="2"/>
  <c r="H373" i="2" s="1"/>
  <c r="F64" i="1"/>
  <c r="F75" i="1" s="1"/>
  <c r="F93" i="1" s="1"/>
  <c r="F104" i="1" s="1"/>
  <c r="F119" i="1" s="1"/>
  <c r="H60" i="1"/>
  <c r="I60" i="1" s="1"/>
  <c r="H91" i="1"/>
  <c r="H35" i="1"/>
  <c r="H36" i="1" s="1"/>
  <c r="G36" i="1"/>
  <c r="G64" i="1" s="1"/>
  <c r="G129" i="1"/>
  <c r="G155" i="1" s="1"/>
  <c r="H155" i="1" s="1"/>
  <c r="H358" i="2"/>
  <c r="E64" i="1"/>
  <c r="E71" i="1" s="1"/>
  <c r="E73" i="1" s="1"/>
  <c r="E75" i="1" s="1"/>
  <c r="E77" i="1" s="1"/>
  <c r="K67" i="1" s="1"/>
  <c r="G75" i="1"/>
  <c r="G93" i="1" s="1"/>
  <c r="H141" i="1"/>
  <c r="D140" i="1"/>
  <c r="H140" i="1" s="1"/>
  <c r="O319" i="2"/>
  <c r="F285" i="3" s="1"/>
  <c r="H285" i="3" s="1"/>
  <c r="J285" i="3" s="1"/>
  <c r="K285" i="3" s="1"/>
  <c r="G279" i="17" s="1"/>
  <c r="F279" i="17" s="1"/>
  <c r="O37" i="2"/>
  <c r="F23" i="3" s="1"/>
  <c r="H23" i="3" s="1"/>
  <c r="J23" i="3" s="1"/>
  <c r="K23" i="3" s="1"/>
  <c r="G17" i="17" s="1"/>
  <c r="F17" i="17" s="1"/>
  <c r="G321" i="2"/>
  <c r="H357" i="2"/>
  <c r="F347" i="2"/>
  <c r="F372" i="2" s="1"/>
  <c r="H331" i="2"/>
  <c r="G381" i="2"/>
  <c r="H381" i="2" s="1"/>
  <c r="H356" i="2"/>
  <c r="G146" i="1"/>
  <c r="H146" i="1" s="1"/>
  <c r="H122" i="1"/>
  <c r="H121" i="1"/>
  <c r="G145" i="1"/>
  <c r="H116" i="1"/>
  <c r="G128" i="1"/>
  <c r="G134" i="1"/>
  <c r="H134" i="1" s="1"/>
  <c r="G103" i="1"/>
  <c r="H118" i="1"/>
  <c r="H120" i="1"/>
  <c r="H124" i="1"/>
  <c r="H126" i="1"/>
  <c r="H130" i="1"/>
  <c r="H132" i="1"/>
  <c r="G147" i="1"/>
  <c r="H147" i="1" s="1"/>
  <c r="D149" i="1"/>
  <c r="H149" i="1" s="1"/>
  <c r="G161" i="1"/>
  <c r="H161" i="1" s="1"/>
  <c r="H86" i="1"/>
  <c r="H117" i="1"/>
  <c r="H123" i="1"/>
  <c r="H125" i="1"/>
  <c r="H133" i="1"/>
  <c r="I291" i="17" l="1"/>
  <c r="I292" i="17" s="1"/>
  <c r="I293" i="17" s="1"/>
  <c r="H9" i="17"/>
  <c r="H291" i="17" s="1"/>
  <c r="H292" i="17" s="1"/>
  <c r="H293" i="17" s="1"/>
  <c r="L44" i="1"/>
  <c r="J61" i="1"/>
  <c r="L50" i="1"/>
  <c r="L60" i="1"/>
  <c r="M60" i="1"/>
  <c r="L47" i="1"/>
  <c r="K275" i="3"/>
  <c r="G269" i="17" s="1"/>
  <c r="F269" i="17" s="1"/>
  <c r="O34" i="2"/>
  <c r="O39" i="2" s="1"/>
  <c r="N39" i="2"/>
  <c r="N295" i="2" s="1"/>
  <c r="N301" i="2" s="1"/>
  <c r="N321" i="2" s="1"/>
  <c r="H71" i="1"/>
  <c r="J62" i="1" s="1"/>
  <c r="H129" i="1"/>
  <c r="K47" i="1"/>
  <c r="M63" i="1" s="1"/>
  <c r="I61" i="1"/>
  <c r="L36" i="1"/>
  <c r="K50" i="1"/>
  <c r="M50" i="1" s="1"/>
  <c r="H73" i="1"/>
  <c r="K44" i="1"/>
  <c r="M44" i="1" s="1"/>
  <c r="K36" i="1"/>
  <c r="M36" i="1" s="1"/>
  <c r="F106" i="1"/>
  <c r="F107" i="1" s="1"/>
  <c r="F108" i="1" s="1"/>
  <c r="F109" i="1" s="1"/>
  <c r="K68" i="1"/>
  <c r="K69" i="1"/>
  <c r="E92" i="1"/>
  <c r="E93" i="1" s="1"/>
  <c r="E104" i="1" s="1"/>
  <c r="E106" i="1" s="1"/>
  <c r="E107" i="1" s="1"/>
  <c r="E108" i="1" s="1"/>
  <c r="E109" i="1" s="1"/>
  <c r="E114" i="1"/>
  <c r="E110" i="1"/>
  <c r="E168" i="1" s="1"/>
  <c r="O320" i="2"/>
  <c r="H64" i="1"/>
  <c r="H347" i="2"/>
  <c r="F364" i="2"/>
  <c r="F391" i="2"/>
  <c r="F392" i="2" s="1"/>
  <c r="F393" i="2" s="1"/>
  <c r="F394" i="2" s="1"/>
  <c r="F412" i="2" s="1"/>
  <c r="H372" i="2"/>
  <c r="D110" i="1"/>
  <c r="D75" i="1"/>
  <c r="D77" i="1" s="1"/>
  <c r="D114" i="1" s="1"/>
  <c r="P73" i="1" s="1"/>
  <c r="H145" i="1"/>
  <c r="F144" i="1"/>
  <c r="H119" i="1"/>
  <c r="F136" i="1"/>
  <c r="H103" i="1"/>
  <c r="G153" i="1"/>
  <c r="H153" i="1" s="1"/>
  <c r="H128" i="1"/>
  <c r="M61" i="1" l="1"/>
  <c r="M62" i="1" s="1"/>
  <c r="L61" i="1"/>
  <c r="L63" i="1" s="1"/>
  <c r="F20" i="3"/>
  <c r="H75" i="1"/>
  <c r="K61" i="1"/>
  <c r="L62" i="1" s="1"/>
  <c r="P74" i="1"/>
  <c r="P75" i="1" s="1"/>
  <c r="J73" i="1"/>
  <c r="J74" i="1" s="1"/>
  <c r="J67" i="1"/>
  <c r="Q73" i="1"/>
  <c r="K73" i="1" s="1"/>
  <c r="K74" i="1" s="1"/>
  <c r="E136" i="1"/>
  <c r="E139" i="1"/>
  <c r="E163" i="1" s="1"/>
  <c r="E164" i="1" s="1"/>
  <c r="E165" i="1" s="1"/>
  <c r="E166" i="1" s="1"/>
  <c r="D92" i="1"/>
  <c r="H77" i="1"/>
  <c r="F163" i="1"/>
  <c r="F164" i="1" s="1"/>
  <c r="F165" i="1" s="1"/>
  <c r="F166" i="1" s="1"/>
  <c r="H144" i="1"/>
  <c r="D168" i="1"/>
  <c r="H168" i="1" s="1"/>
  <c r="H110" i="1"/>
  <c r="K62" i="1" l="1"/>
  <c r="F16" i="3"/>
  <c r="H20" i="3"/>
  <c r="J68" i="1"/>
  <c r="J69" i="1"/>
  <c r="Q74" i="1"/>
  <c r="Q75" i="1" s="1"/>
  <c r="H114" i="1"/>
  <c r="D139" i="1"/>
  <c r="D136" i="1"/>
  <c r="D93" i="1"/>
  <c r="D104" i="1" s="1"/>
  <c r="D106" i="1" s="1"/>
  <c r="H92" i="1"/>
  <c r="H93" i="1" s="1"/>
  <c r="G95" i="1" s="1"/>
  <c r="J20" i="3" l="1"/>
  <c r="H16" i="3"/>
  <c r="D107" i="1"/>
  <c r="D108" i="1" s="1"/>
  <c r="D109" i="1" s="1"/>
  <c r="H95" i="1"/>
  <c r="H96" i="1" s="1"/>
  <c r="H104" i="1" s="1"/>
  <c r="G131" i="1"/>
  <c r="G96" i="1"/>
  <c r="G104" i="1" s="1"/>
  <c r="G106" i="1" s="1"/>
  <c r="G107" i="1" s="1"/>
  <c r="G108" i="1" s="1"/>
  <c r="G109" i="1" s="1"/>
  <c r="H139" i="1"/>
  <c r="D163" i="1"/>
  <c r="D164" i="1" s="1"/>
  <c r="D165" i="1" s="1"/>
  <c r="K20" i="3" l="1"/>
  <c r="G14" i="17" s="1"/>
  <c r="F14" i="17" s="1"/>
  <c r="F10" i="17" s="1"/>
  <c r="J16" i="3"/>
  <c r="G158" i="1"/>
  <c r="H131" i="1"/>
  <c r="H136" i="1" s="1"/>
  <c r="G136" i="1"/>
  <c r="D166" i="1"/>
  <c r="H106" i="1"/>
  <c r="H107" i="1" s="1"/>
  <c r="H108" i="1" s="1"/>
  <c r="H109" i="1" s="1"/>
  <c r="K16" i="3" l="1"/>
  <c r="G10" i="17" s="1"/>
  <c r="H158" i="1"/>
  <c r="H163" i="1" s="1"/>
  <c r="H164" i="1" s="1"/>
  <c r="G163" i="1"/>
  <c r="G164" i="1" s="1"/>
  <c r="G165" i="1" s="1"/>
  <c r="G166" i="1" l="1"/>
  <c r="H166" i="1" s="1"/>
  <c r="H165" i="1"/>
  <c r="D294" i="2"/>
  <c r="H294" i="2" l="1"/>
  <c r="H236" i="2" l="1"/>
  <c r="H240" i="2" s="1"/>
  <c r="E240" i="2"/>
  <c r="E402" i="2" s="1"/>
  <c r="L402" i="2" l="1"/>
  <c r="H402" i="2"/>
  <c r="E406" i="2"/>
  <c r="E295" i="2"/>
  <c r="E297" i="2" s="1"/>
  <c r="E343" i="2"/>
  <c r="E407" i="2" l="1"/>
  <c r="O402" i="2"/>
  <c r="L406" i="2"/>
  <c r="O236" i="2"/>
  <c r="L240" i="2"/>
  <c r="H343" i="2"/>
  <c r="E368" i="2"/>
  <c r="E408" i="2" l="1"/>
  <c r="L407" i="2"/>
  <c r="H368" i="2"/>
  <c r="E299" i="2"/>
  <c r="O240" i="2"/>
  <c r="E409" i="2" l="1"/>
  <c r="E410" i="2" s="1"/>
  <c r="L408" i="2"/>
  <c r="E301" i="2"/>
  <c r="E338" i="2"/>
  <c r="L410" i="2" l="1"/>
  <c r="L409" i="2"/>
  <c r="E303" i="2"/>
  <c r="E320" i="2" s="1"/>
  <c r="E396" i="2"/>
  <c r="E342" i="2" l="1"/>
  <c r="E321" i="2" l="1"/>
  <c r="E367" i="2"/>
  <c r="E364" i="2"/>
  <c r="E391" i="2" l="1"/>
  <c r="E332" i="2"/>
  <c r="E392" i="2" l="1"/>
  <c r="E334" i="2"/>
  <c r="E335" i="2" l="1"/>
  <c r="E393" i="2"/>
  <c r="E336" i="2" l="1"/>
  <c r="E394" i="2"/>
  <c r="E412" i="2" s="1"/>
  <c r="E337" i="2" l="1"/>
  <c r="K234" i="2" l="1"/>
  <c r="D234" i="2"/>
  <c r="H234" i="2" s="1"/>
  <c r="K295" i="2" l="1"/>
  <c r="K301" i="2" s="1"/>
  <c r="K321" i="2" s="1"/>
  <c r="K332" i="2" s="1"/>
  <c r="D295" i="2"/>
  <c r="D297" i="2" s="1"/>
  <c r="D401" i="2"/>
  <c r="D299" i="2" l="1"/>
  <c r="H297" i="2"/>
  <c r="H299" i="2" s="1"/>
  <c r="H401" i="2"/>
  <c r="D406" i="2"/>
  <c r="K401" i="2"/>
  <c r="O401" i="2" l="1"/>
  <c r="K406" i="2"/>
  <c r="K334" i="2" s="1"/>
  <c r="D338" i="2"/>
  <c r="D301" i="2"/>
  <c r="D303" i="2" s="1"/>
  <c r="H406" i="2"/>
  <c r="D407" i="2"/>
  <c r="H303" i="2" l="1"/>
  <c r="D320" i="2"/>
  <c r="D342" i="2"/>
  <c r="D396" i="2"/>
  <c r="H338" i="2"/>
  <c r="K407" i="2"/>
  <c r="O407" i="2" s="1"/>
  <c r="H407" i="2"/>
  <c r="D408" i="2"/>
  <c r="O406" i="2"/>
  <c r="K336" i="2" l="1"/>
  <c r="K392" i="2" s="1"/>
  <c r="H396" i="2"/>
  <c r="I396" i="2" s="1"/>
  <c r="H342" i="2"/>
  <c r="D367" i="2"/>
  <c r="D364" i="2"/>
  <c r="D321" i="2"/>
  <c r="D332" i="2" s="1"/>
  <c r="D334" i="2" s="1"/>
  <c r="H320" i="2"/>
  <c r="H408" i="2"/>
  <c r="K408" i="2"/>
  <c r="O408" i="2" s="1"/>
  <c r="D409" i="2"/>
  <c r="D410" i="2" s="1"/>
  <c r="H410" i="2" l="1"/>
  <c r="K410" i="2"/>
  <c r="O410" i="2" s="1"/>
  <c r="D335" i="2"/>
  <c r="D336" i="2" s="1"/>
  <c r="D337" i="2" s="1"/>
  <c r="D391" i="2"/>
  <c r="D392" i="2" s="1"/>
  <c r="D393" i="2" s="1"/>
  <c r="H367" i="2"/>
  <c r="K393" i="2"/>
  <c r="K394" i="2" s="1"/>
  <c r="H409" i="2"/>
  <c r="K409" i="2"/>
  <c r="O409" i="2" s="1"/>
  <c r="K412" i="2" l="1"/>
  <c r="D394" i="2"/>
  <c r="D412" i="2" l="1"/>
  <c r="L234" i="2"/>
  <c r="M234" i="2"/>
  <c r="M295" i="2" s="1"/>
  <c r="M301" i="2" s="1"/>
  <c r="M321" i="2" s="1"/>
  <c r="M332" i="2" s="1"/>
  <c r="H141" i="2"/>
  <c r="H295" i="2" s="1"/>
  <c r="H301" i="2" s="1"/>
  <c r="H321" i="2" s="1"/>
  <c r="G323" i="2" s="1"/>
  <c r="L295" i="2" l="1"/>
  <c r="L301" i="2" s="1"/>
  <c r="L321" i="2" s="1"/>
  <c r="Q304" i="2" s="1"/>
  <c r="O234" i="2"/>
  <c r="O295" i="2" s="1"/>
  <c r="O301" i="2" s="1"/>
  <c r="O321" i="2" s="1"/>
  <c r="O332" i="2" s="1"/>
  <c r="M336" i="2"/>
  <c r="M392" i="2" s="1"/>
  <c r="G359" i="2"/>
  <c r="N323" i="2"/>
  <c r="H323" i="2"/>
  <c r="H324" i="2" s="1"/>
  <c r="H332" i="2" s="1"/>
  <c r="G324" i="2"/>
  <c r="G332" i="2" s="1"/>
  <c r="G334" i="2" s="1"/>
  <c r="L332" i="2" l="1"/>
  <c r="N324" i="2"/>
  <c r="P323" i="2"/>
  <c r="O323" i="2"/>
  <c r="M393" i="2"/>
  <c r="M394" i="2" s="1"/>
  <c r="M412" i="2" s="1"/>
  <c r="G364" i="2"/>
  <c r="G386" i="2"/>
  <c r="H359" i="2"/>
  <c r="H364" i="2" s="1"/>
  <c r="H334" i="2"/>
  <c r="H335" i="2" s="1"/>
  <c r="H336" i="2" s="1"/>
  <c r="H337" i="2" s="1"/>
  <c r="G335" i="2"/>
  <c r="G336" i="2" s="1"/>
  <c r="G337" i="2" s="1"/>
  <c r="H386" i="2" l="1"/>
  <c r="H391" i="2" s="1"/>
  <c r="H392" i="2" s="1"/>
  <c r="I386" i="2"/>
  <c r="I399" i="2" s="1"/>
  <c r="I401" i="2" s="1"/>
  <c r="G391" i="2"/>
  <c r="G392" i="2" s="1"/>
  <c r="G393" i="2" s="1"/>
  <c r="L336" i="2"/>
  <c r="L392" i="2" s="1"/>
  <c r="N332" i="2"/>
  <c r="N334" i="2" s="1"/>
  <c r="O324" i="2"/>
  <c r="L393" i="2" l="1"/>
  <c r="O334" i="2"/>
  <c r="F286" i="3" s="1"/>
  <c r="H393" i="2"/>
  <c r="G394" i="2"/>
  <c r="H286" i="3" l="1"/>
  <c r="F15" i="3"/>
  <c r="N336" i="2"/>
  <c r="N392" i="2" s="1"/>
  <c r="N393" i="2" s="1"/>
  <c r="O393" i="2" s="1"/>
  <c r="O336" i="2"/>
  <c r="H394" i="2"/>
  <c r="G412" i="2"/>
  <c r="H412" i="2" s="1"/>
  <c r="L394" i="2"/>
  <c r="J286" i="3" l="1"/>
  <c r="H15" i="3"/>
  <c r="K14" i="8"/>
  <c r="O392" i="2"/>
  <c r="N394" i="2"/>
  <c r="N412" i="2" s="1"/>
  <c r="F297" i="3"/>
  <c r="L412" i="2"/>
  <c r="K286" i="3" l="1"/>
  <c r="J15" i="3"/>
  <c r="J297" i="3" s="1"/>
  <c r="M14" i="8"/>
  <c r="N14" i="8" s="1"/>
  <c r="O394" i="2"/>
  <c r="F298" i="3"/>
  <c r="F299" i="3" s="1"/>
  <c r="O412" i="2"/>
  <c r="H297" i="3"/>
  <c r="G280" i="17" l="1"/>
  <c r="F280" i="17" s="1"/>
  <c r="F9" i="17" s="1"/>
  <c r="F291" i="17" s="1"/>
  <c r="F292" i="17" s="1"/>
  <c r="F293" i="17" s="1"/>
  <c r="L18" i="8"/>
  <c r="M18" i="8" s="1"/>
  <c r="N18" i="8" s="1"/>
  <c r="K15" i="3"/>
  <c r="H298" i="3"/>
  <c r="H299" i="3" s="1"/>
  <c r="J298" i="3"/>
  <c r="J299" i="3" s="1"/>
  <c r="G9" i="17" l="1"/>
  <c r="G291" i="17" s="1"/>
  <c r="G292" i="17" s="1"/>
  <c r="G293" i="17" s="1"/>
  <c r="K297" i="3"/>
  <c r="L19" i="8" s="1"/>
  <c r="M19" i="8" s="1"/>
  <c r="N19" i="8" s="1"/>
  <c r="M13" i="8" l="1"/>
  <c r="M16" i="8" s="1"/>
  <c r="L16" i="8"/>
  <c r="K13" i="8"/>
  <c r="K298" i="3"/>
  <c r="L297" i="3"/>
  <c r="N13" i="8" l="1"/>
  <c r="N16" i="8" s="1"/>
  <c r="K299" i="3"/>
  <c r="L17" i="8"/>
  <c r="M17" i="8" s="1"/>
  <c r="N17" i="8" s="1"/>
  <c r="L298" i="3"/>
  <c r="B31" i="9" l="1"/>
  <c r="G6" i="7"/>
  <c r="L299" i="3"/>
</calcChain>
</file>

<file path=xl/comments1.xml><?xml version="1.0" encoding="utf-8"?>
<comments xmlns="http://schemas.openxmlformats.org/spreadsheetml/2006/main">
  <authors>
    <author>Широкова Любовь Васильевна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добавлено 0,01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- 0,01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F139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47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D178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82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83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85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86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28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31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58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D264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-0,02
</t>
        </r>
      </text>
    </comment>
    <comment ref="D272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89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D291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</t>
        </r>
      </text>
    </comment>
  </commentList>
</comments>
</file>

<file path=xl/comments2.xml><?xml version="1.0" encoding="utf-8"?>
<comments xmlns="http://schemas.openxmlformats.org/spreadsheetml/2006/main">
  <authors>
    <author>Широкова Любовь Васильевна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добавлено 0,01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- 0,01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F139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47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D178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82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83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85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186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28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31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58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D264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-0,02
</t>
        </r>
      </text>
    </comment>
    <comment ref="D272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
</t>
        </r>
      </text>
    </comment>
    <comment ref="D289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+0,01
</t>
        </r>
      </text>
    </comment>
    <comment ref="D291" authorId="0" shapeId="0">
      <text>
        <r>
          <rPr>
            <b/>
            <sz val="9"/>
            <color indexed="81"/>
            <rFont val="Tahoma"/>
            <family val="2"/>
            <charset val="204"/>
          </rPr>
          <t>Широкова Любовь Васильевна:</t>
        </r>
        <r>
          <rPr>
            <sz val="9"/>
            <color indexed="81"/>
            <rFont val="Tahoma"/>
            <family val="2"/>
            <charset val="204"/>
          </rPr>
          <t xml:space="preserve">
-0,01</t>
        </r>
      </text>
    </comment>
  </commentList>
</comments>
</file>

<file path=xl/sharedStrings.xml><?xml version="1.0" encoding="utf-8"?>
<sst xmlns="http://schemas.openxmlformats.org/spreadsheetml/2006/main" count="4953" uniqueCount="1247">
  <si>
    <t>Форма № 1</t>
  </si>
  <si>
    <t xml:space="preserve">Заказчик </t>
  </si>
  <si>
    <t>Министерство строительства и архитектуры Республики Северная Осетия - Алания</t>
  </si>
  <si>
    <t>(наименование организации)</t>
  </si>
  <si>
    <t>"Утвержден" «    »________________2019 г.</t>
  </si>
  <si>
    <r>
      <t xml:space="preserve">Сводный сметный расчет в сумме </t>
    </r>
    <r>
      <rPr>
        <b/>
        <sz val="10"/>
        <rFont val="Arial"/>
        <family val="2"/>
        <charset val="204"/>
      </rPr>
      <t>763 288,09</t>
    </r>
    <r>
      <rPr>
        <sz val="10"/>
        <rFont val="Arial"/>
        <family val="2"/>
        <charset val="204"/>
      </rPr>
      <t xml:space="preserve"> тыс. руб. на 01.01.2001г.</t>
    </r>
  </si>
  <si>
    <t>В том числе возвратных сумм  372,01 тыс. руб.</t>
  </si>
  <si>
    <r>
      <t xml:space="preserve">Сводный сметный расчет в сумме </t>
    </r>
    <r>
      <rPr>
        <b/>
        <sz val="10"/>
        <rFont val="Arial"/>
        <family val="2"/>
        <charset val="204"/>
      </rPr>
      <t>4 633 039,03</t>
    </r>
    <r>
      <rPr>
        <sz val="10"/>
        <rFont val="Arial"/>
        <family val="2"/>
        <charset val="204"/>
      </rPr>
      <t xml:space="preserve"> тыс. руб. на IV кв. 2019г.</t>
    </r>
  </si>
  <si>
    <t>В том числе возвратных сумм  3 615,94 тыс. руб.</t>
  </si>
  <si>
    <t>(ссылка на документ об утверждении)</t>
  </si>
  <si>
    <t>«    »________________2019 г.</t>
  </si>
  <si>
    <t>СВОДНЫЙ СМЕТНЫЙ РАСЧЕТ СТОИМОСТИ СТРОИТЕЛЬСТВА</t>
  </si>
  <si>
    <t>Разработка ПСД объектов всесезонного туристско-рекреационного комплекса «Мамисон» (поселок Калак, этап 1)</t>
  </si>
  <si>
    <t>(наименование стройки)</t>
  </si>
  <si>
    <t>Составлен в ценах 2001 года (по состоянию на 01.01.2000) с пересчетом в текущий уровень цен 4 кв 2019г.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</si>
  <si>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</si>
  <si>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</si>
  <si>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</si>
  <si>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</si>
  <si>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</si>
  <si>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</si>
  <si>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</si>
  <si>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оборудования, мебели, инвентаря</t>
  </si>
  <si>
    <t>прочих</t>
  </si>
  <si>
    <t>Глава 1. Подготовка территории строительства</t>
  </si>
  <si>
    <t>01-01-01</t>
  </si>
  <si>
    <t>Вертикальная планировка</t>
  </si>
  <si>
    <t>01-02-01</t>
  </si>
  <si>
    <t>Рекултивация</t>
  </si>
  <si>
    <t>01-04-01</t>
  </si>
  <si>
    <t>Проведение спасательных археологических исследований (1 673 311,6+6 348 468,10)/4,35/1,266</t>
  </si>
  <si>
    <t>01-05-01</t>
  </si>
  <si>
    <t>Возмещение ущерба, наносимого водным биоресурсам               48 238,26/1,2/10,79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</si>
  <si>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</si>
  <si>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</si>
  <si>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</si>
  <si>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Канатная дорога Мамисон-1</t>
  </si>
  <si>
    <t>02-02</t>
  </si>
  <si>
    <t>Канатная дорога Мамисон-2</t>
  </si>
  <si>
    <t>02-03</t>
  </si>
  <si>
    <t>Инженерная защита территории</t>
  </si>
  <si>
    <t>02-04-01</t>
  </si>
  <si>
    <t>Горнолыжные трассы и комплекс "Сноупарк"</t>
  </si>
  <si>
    <t>02-05-01</t>
  </si>
  <si>
    <t>Строительство Моста №1</t>
  </si>
  <si>
    <t>02-06-01</t>
  </si>
  <si>
    <t>Строительство Моста №2</t>
  </si>
  <si>
    <t>Итого по Главе 2. "Основные объекты строительства"</t>
  </si>
  <si>
    <t>Глава 4. Объекты энергетического хозяйства</t>
  </si>
  <si>
    <t>04-01-01</t>
  </si>
  <si>
    <t>Внутриплощадочные сети электроснабжения</t>
  </si>
  <si>
    <t>Итого по Главе 4. "Объекты энергетического хозяйства"</t>
  </si>
  <si>
    <t>Глава 5. Объекты транспортного хозяйства и связи</t>
  </si>
  <si>
    <t>05-01</t>
  </si>
  <si>
    <t>Внутриплощадочные сети связи</t>
  </si>
  <si>
    <t>Итого по Главе 5. "Объекты транспортного хозяйства и связи"</t>
  </si>
  <si>
    <t>Глава 6. Наружные сети и сооружения водоснабжения, водоотведения, теплоснабжения и газоснабжения</t>
  </si>
  <si>
    <t>06-01-01</t>
  </si>
  <si>
    <t>Внутриплощадочные сети водоотведения</t>
  </si>
  <si>
    <t>06-02-01</t>
  </si>
  <si>
    <t>Внутриплощадочные сети водоснабжения</t>
  </si>
  <si>
    <t>06-03-01</t>
  </si>
  <si>
    <t>Внутриплощадочные сети газоснабжения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</si>
  <si>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</si>
  <si>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</si>
  <si>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07-01</t>
  </si>
  <si>
    <t>Благоустройство и озеленение территорий Канатных дорог Мамисон-1</t>
  </si>
  <si>
    <t>07-02</t>
  </si>
  <si>
    <t>Благоустройство и озеленение территорий Канатных дорог  Мамисон-2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</si>
  <si>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</si>
  <si>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</si>
  <si>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</si>
  <si>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п.4.9</t>
  </si>
  <si>
    <t>Временные здания и сооружения, санатории, дома отдыха, турбазы, пансионаты, профилактории, пионерские лагеря - 2,3%</t>
  </si>
  <si>
    <t>Итого по Главе 8. "Временные здания и сооружения"</t>
  </si>
  <si>
    <t>В том числе: возвратные суммы 15% от разборки временных зданий и сооружений (справочно)</t>
  </si>
  <si>
    <t>Итого по Главам 1-8</t>
  </si>
  <si>
    <t>Глава 9. Прочие работы и затраты</t>
  </si>
  <si>
    <t>ГСН 81-05-02-2007 п.11.4</t>
  </si>
  <si>
    <t>Производство работ в зимнее время - 1%</t>
  </si>
  <si>
    <t>09-01</t>
  </si>
  <si>
    <t>Пусконаладочные работы Канатных дорог Мамисон-1 "Вхолостую"</t>
  </si>
  <si>
    <t>09-02</t>
  </si>
  <si>
    <t>Пусконаладочные работы Канатных дорог Мамисон-2 "Вхолостую"</t>
  </si>
  <si>
    <t>09-05-01</t>
  </si>
  <si>
    <t>Расчет платы за негативное воздействие 29425,15/10,79+35 228,62/10,79</t>
  </si>
  <si>
    <t>09-06</t>
  </si>
  <si>
    <t>Перебазировка строительной техники</t>
  </si>
  <si>
    <t>09-07</t>
  </si>
  <si>
    <t>Затраты, связанные с вахтовым методом ведения работ</t>
  </si>
  <si>
    <t>09-08-01</t>
  </si>
  <si>
    <t>Затраты, связанные с использованием передвежных ДЭС</t>
  </si>
  <si>
    <t>09-09-01</t>
  </si>
  <si>
    <t>Компенсация затрат по аренде вертолетов 66107750/1,2/10,79</t>
  </si>
  <si>
    <t>09-11-01</t>
  </si>
  <si>
    <t>Перевозка минерального грунта</t>
  </si>
  <si>
    <t>09-12-01</t>
  </si>
  <si>
    <t>Производственный экологический контроль и мониторинг 146 486,25/10,79</t>
  </si>
  <si>
    <t>09-14-01</t>
  </si>
  <si>
    <t>Выполнение мониторинга и разработка плана мероприятий по защите объектов 5743644,18/4,35/1,266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</si>
  <si>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</si>
  <si>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</si>
  <si>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</si>
  <si>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РФ от 21 июня 2010 года №468</t>
  </si>
  <si>
    <t>Строительный контроль 1,13% (710342,59+29617,52)=739960,11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</si>
  <si>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</si>
  <si>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</si>
  <si>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 xml:space="preserve">Сводная смета ПИР </t>
  </si>
  <si>
    <t>Изыскательские работы</t>
  </si>
  <si>
    <t xml:space="preserve">Проектная документация </t>
  </si>
  <si>
    <t xml:space="preserve">Рабочая документация </t>
  </si>
  <si>
    <t>12-03-01</t>
  </si>
  <si>
    <t>Экспертиза предпроектной и проектной документации</t>
  </si>
  <si>
    <t>Постановление Правительства Российской Федерации от 30 апреля 2013 г. № 382</t>
  </si>
  <si>
    <t>Публичный технологический и ценовой аудит 0,58%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</si>
  <si>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</si>
  <si>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</si>
  <si>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</si>
  <si>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</si>
  <si>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затраты- 2%</t>
  </si>
  <si>
    <t>Итого "Непредвиденные затраты"</t>
  </si>
  <si>
    <t>Итого с учетом "Непредвиденные затраты"</t>
  </si>
  <si>
    <t>Итого по сводному расчету в базисному уровне цен 2001г. (на 01.01.2000)</t>
  </si>
  <si>
    <t xml:space="preserve">В том числе: </t>
  </si>
  <si>
    <t>возвратные суммы 15% от разборки временных зданий и сооружений (справочно)</t>
  </si>
  <si>
    <t xml:space="preserve">Немонтируемое оборудование. </t>
  </si>
  <si>
    <t>Итого Немонтируемое оборудование</t>
  </si>
  <si>
    <t>Объекты спортивного назначения</t>
  </si>
  <si>
    <t>Подземная прокладка кабеля с медными жилами</t>
  </si>
  <si>
    <t>Внешние инженерные сети канализации(водоотведения)</t>
  </si>
  <si>
    <t>Внешние инженерные сети водопровода</t>
  </si>
  <si>
    <t>Внешние сети газоснабжения</t>
  </si>
  <si>
    <t>Оборудование</t>
  </si>
  <si>
    <t>ПНР</t>
  </si>
  <si>
    <t>Археология</t>
  </si>
  <si>
    <t>Ущерб водным биоресурсам</t>
  </si>
  <si>
    <t>Нагативное воздействие</t>
  </si>
  <si>
    <t>Вахта</t>
  </si>
  <si>
    <t>Использование ДЭС</t>
  </si>
  <si>
    <t>Аренда вертолета</t>
  </si>
  <si>
    <t>Экологический мониторинг в период строительства</t>
  </si>
  <si>
    <t>Мониторинг по защите объектов</t>
  </si>
  <si>
    <t>Строительный контроль</t>
  </si>
  <si>
    <t>Проектные работы (РД+ПД)</t>
  </si>
  <si>
    <t>ТЦА 0,58%</t>
  </si>
  <si>
    <t>Затраты на экспертизу</t>
  </si>
  <si>
    <t>Итого</t>
  </si>
  <si>
    <t>Пересчет в текущие цены IV квартала 2019 г.</t>
  </si>
  <si>
    <t>51579-ДВ/09 от 31.12.2019 Объекты спортивного назначения</t>
  </si>
  <si>
    <t>Главы 1, 2, 5, 7, 8, 9 в части СМР (Объекты спортивного назначения Инд = 8,1): Стротильно-монтажные работы *8,1</t>
  </si>
  <si>
    <t>51579-ДВ/09 от 31.12.2019 Подземная прокладка кабеля с медной жилой</t>
  </si>
  <si>
    <t>Глава 4 в части СМР (наружные системы электроснабжения – 5,55): Строительно-монтажные работы *5,55</t>
  </si>
  <si>
    <t>51579-ДВ/09 от 31.12.2019 Внешние инженерные сети канализации</t>
  </si>
  <si>
    <t>ЛСР 06-01-01 Водоотведение Строительно-монтажные работы *8,98</t>
  </si>
  <si>
    <t>51579-ДВ/09 от 31.12.2019 Внешние инженерные сети водопровода</t>
  </si>
  <si>
    <t>ЛСР 06-02-01 Водоснабжение Строительно-монтажные работы *5,99</t>
  </si>
  <si>
    <t>51579-ДВ/09 от 31.12.2020 Внешние инженерные сети водопровода</t>
  </si>
  <si>
    <t>ЛСР 06-03-01 Газоснабжение Строительно-монтажные работы *7,99</t>
  </si>
  <si>
    <t>№50583-ДВ/09 от 25.12.2019 по объектам непроизводственного назначения</t>
  </si>
  <si>
    <t>Оборудование 567958,17 тыс. руб. *4,09</t>
  </si>
  <si>
    <t>№46999-ДВ/09 от 09.12.2019 Изыскательские работы</t>
  </si>
  <si>
    <t xml:space="preserve">01-04-01 Проведение спасательных археологических исследований 1844,09*4,35*1,266  </t>
  </si>
  <si>
    <t>01-05-01 Возмещение ущерба, наносимого водным биоресурсам 3,73*10,79</t>
  </si>
  <si>
    <r>
      <t xml:space="preserve">51579-ДВ/09 от 31.12.2019 </t>
    </r>
    <r>
      <rPr>
        <sz val="11"/>
        <rFont val="Arial"/>
        <family val="2"/>
        <charset val="204"/>
      </rPr>
      <t>Пуско-наладочные раб</t>
    </r>
    <r>
      <rPr>
        <sz val="10"/>
        <rFont val="Arial"/>
        <family val="2"/>
        <charset val="204"/>
      </rPr>
      <t>оты</t>
    </r>
  </si>
  <si>
    <t>09-01, 09-02 Пусконаладочные работы Канатных дорог Мамисон-1,2 "Вхолостую" 464,95*15,92</t>
  </si>
  <si>
    <t>09-08-01 Использование ДЭС *8,1</t>
  </si>
  <si>
    <t>09-11-01 Перевозка минерального грунта *8,1</t>
  </si>
  <si>
    <t>09-05-01 Расчет платы за негативное воздействие 5,99*10,79</t>
  </si>
  <si>
    <t>09-06 Перебазировка строительной техники 53,69*10,79</t>
  </si>
  <si>
    <t>09-07 Затраты, связанные с вахтовым методом ведения работ 21220,73*10,79</t>
  </si>
  <si>
    <t>09-09-01 Компенсация затрат по аренде вертолетов 6126,76*10,79</t>
  </si>
  <si>
    <t xml:space="preserve">09-12-01 Производственный экологический контроль и мониторинг 13,58*10,79 </t>
  </si>
  <si>
    <t>09-14-01 Выполнение мониторинка и разработка плана мероприятий по защите объектов 4,35*1,266</t>
  </si>
  <si>
    <t>Строительный контроль 1,13% от итога глав 1-9 и 12</t>
  </si>
  <si>
    <t>Сводная смета ПИР. Раздел 1</t>
  </si>
  <si>
    <t>Изыскательские работы 4,35*1,266</t>
  </si>
  <si>
    <t>Сводная смета ПИР. Раздел 2</t>
  </si>
  <si>
    <t>Проектные работы (ПД+РД) 4,27*1,19</t>
  </si>
  <si>
    <t>Экспертиза предпроектной и проектной документации 5,29</t>
  </si>
  <si>
    <t>Постановление Правительства Российской Федерации от 30 апреля 2013 года. №328</t>
  </si>
  <si>
    <t>Публичный технологический и ценовой аудит 0,58% от ПИР</t>
  </si>
  <si>
    <t>Итого по сводному сметному расчету  в текущих ценах по состоянию на 4 квартал 2019г. с учетом непредвиденных затрат</t>
  </si>
  <si>
    <t>Итого с учетом в текущих ценах по состоянию на 4 квартал 2019г. с учетом непредвиденных затрат</t>
  </si>
  <si>
    <t>МДС 81-35.2004 п.4.100</t>
  </si>
  <si>
    <t>НДС - 20%</t>
  </si>
  <si>
    <t>Итого по сводному расчету в текущих ценах по состоянию на 4 квартал 2019г.</t>
  </si>
  <si>
    <t xml:space="preserve">Справачно: </t>
  </si>
  <si>
    <t>В том числе возвратные суммы 15% от разборки временных зданий и сооружений</t>
  </si>
  <si>
    <t xml:space="preserve">ПИР в базисном уровне цен </t>
  </si>
  <si>
    <t>ПИР в текущем уровне цен 4 кв 2019 без учета непредвиденных с НДС 20%.</t>
  </si>
  <si>
    <t>ГИП: ___________________________Козлова Н.И.</t>
  </si>
  <si>
    <t>(должность, подпись, расшифровка)</t>
  </si>
  <si>
    <t>Составил: ___________________________Беляев Н.А.</t>
  </si>
  <si>
    <t>Заказчик: ИО начальника ГКУ "УКС РСО-Алания"  ___________________________ Т.Р. Дзитоев</t>
  </si>
  <si>
    <t>Прочие</t>
  </si>
  <si>
    <t>Итого:</t>
  </si>
  <si>
    <t xml:space="preserve"> ЛС-02-02-01</t>
  </si>
  <si>
    <t>Устройство фундаментов.</t>
  </si>
  <si>
    <t xml:space="preserve"> ЛС-02-02-02</t>
  </si>
  <si>
    <t>Монтаж металлоконструкций и оборудования ППКД.</t>
  </si>
  <si>
    <t xml:space="preserve"> ЛС-02-02-03</t>
  </si>
  <si>
    <t>Монтаж электрооборудования ППКД</t>
  </si>
  <si>
    <t xml:space="preserve"> ЛС-02-02-04</t>
  </si>
  <si>
    <t>Строительство здания "помещение дежурного" на нижней станции.</t>
  </si>
  <si>
    <t xml:space="preserve"> ЛС-02-02-05</t>
  </si>
  <si>
    <t>Электроосвещение здания "помещение дежурного" на нижней станции.</t>
  </si>
  <si>
    <t xml:space="preserve"> ЛС-02-02-06</t>
  </si>
  <si>
    <t>Строительство здания "помещения дежурного" на верхней станции.</t>
  </si>
  <si>
    <t xml:space="preserve"> ЛС-02-02-07</t>
  </si>
  <si>
    <t>Электроосвещение здания "помещения дежурного" на верхней станции.</t>
  </si>
  <si>
    <t xml:space="preserve"> ЛС-02-02-08</t>
  </si>
  <si>
    <t>Здание парковки для подвижного состава</t>
  </si>
  <si>
    <t xml:space="preserve"> ЛС-02-02-09</t>
  </si>
  <si>
    <t>Электроосвещение здания парковки для подвижного состава</t>
  </si>
  <si>
    <t xml:space="preserve"> ЛС-02-02-10</t>
  </si>
  <si>
    <t>Система контроля управления доступом (СКУД)</t>
  </si>
  <si>
    <t xml:space="preserve"> ЛС-02-02-11</t>
  </si>
  <si>
    <t>Автоматическая пожарная сигнализация (АПС)</t>
  </si>
  <si>
    <t xml:space="preserve"> ЛС-02-02-12</t>
  </si>
  <si>
    <t>Автоматическое управление пожаротушением (АУПТ)</t>
  </si>
  <si>
    <t xml:space="preserve"> ЛС-02-02-13</t>
  </si>
  <si>
    <t>Охранно-пожарная сигнализация (ОПС)</t>
  </si>
  <si>
    <t xml:space="preserve"> ЛС-02-02-14</t>
  </si>
  <si>
    <t xml:space="preserve"> ЛС-02-02-15</t>
  </si>
  <si>
    <t>Дополнительная доставка материалов к смете ЛС-02-02-01</t>
  </si>
  <si>
    <t xml:space="preserve"> ЛС-02-02-16</t>
  </si>
  <si>
    <t>Дополнительная доставка материалов к смете ЛС-02-02-03</t>
  </si>
  <si>
    <t xml:space="preserve"> ЛС-02-02-17</t>
  </si>
  <si>
    <t>Дополнительная доставка материалов к смете ЛС-02-02-04</t>
  </si>
  <si>
    <t xml:space="preserve"> ЛС-02-02-18</t>
  </si>
  <si>
    <t>Дополнительная доставка материалов к смете ЛС-02-02-06</t>
  </si>
  <si>
    <t xml:space="preserve"> ЛС-02-02-19</t>
  </si>
  <si>
    <t>Дополнительная доставка материалов к смете ЛС-02-02-08</t>
  </si>
  <si>
    <t xml:space="preserve"> ЛС-02-01-01</t>
  </si>
  <si>
    <t xml:space="preserve"> ЛС-02-01-02</t>
  </si>
  <si>
    <t xml:space="preserve"> ЛС-02-01-03</t>
  </si>
  <si>
    <t xml:space="preserve"> ЛС-02-01-04</t>
  </si>
  <si>
    <t xml:space="preserve"> ЛС-02-01-05</t>
  </si>
  <si>
    <t xml:space="preserve"> ЛС-02-01-06</t>
  </si>
  <si>
    <t xml:space="preserve"> ЛС-02-01-07</t>
  </si>
  <si>
    <t xml:space="preserve"> ЛС-02-01-08</t>
  </si>
  <si>
    <t xml:space="preserve"> ЛС-02-01-09</t>
  </si>
  <si>
    <t xml:space="preserve"> ЛС-02-01-10</t>
  </si>
  <si>
    <t xml:space="preserve"> ЛС-02-01-11</t>
  </si>
  <si>
    <t xml:space="preserve"> ЛС-02-01-12</t>
  </si>
  <si>
    <t xml:space="preserve"> ЛС-02-01-13</t>
  </si>
  <si>
    <t xml:space="preserve"> ЛС-02-01-14</t>
  </si>
  <si>
    <t xml:space="preserve"> ЛС-02-01-15</t>
  </si>
  <si>
    <t>Дополнительная доставка материалов к смете ЛС-02-01-01</t>
  </si>
  <si>
    <t xml:space="preserve"> ЛС-02-01-16</t>
  </si>
  <si>
    <t>Дополнительная доставка материалов к смете ЛС-02-01-03</t>
  </si>
  <si>
    <t xml:space="preserve"> ЛС-02-01-17</t>
  </si>
  <si>
    <t>Дополнительная доставка материалов к смете ЛС-02-01-04</t>
  </si>
  <si>
    <t xml:space="preserve"> ЛС-02-01-18</t>
  </si>
  <si>
    <t>Дополнительная доставка материалов к смете ЛС-02-01-06</t>
  </si>
  <si>
    <t xml:space="preserve"> ЛС-02-01-19</t>
  </si>
  <si>
    <t>Дополнительная доставка материалов к смете ЛС-02-01-08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</si>
  <si>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</si>
  <si>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</si>
  <si>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</si>
  <si>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</si>
  <si>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</si>
  <si>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</si>
  <si>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</si>
  <si>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</si>
  <si>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</si>
  <si>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</si>
  <si>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</si>
  <si>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</si>
  <si>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</si>
  <si>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</si>
  <si>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5.1</t>
  </si>
  <si>
    <t xml:space="preserve"> ЛС-07-01-01</t>
  </si>
  <si>
    <t>Вертикальная планировка ППКД Мамисон-1</t>
  </si>
  <si>
    <t xml:space="preserve"> ЛС-07-01-02</t>
  </si>
  <si>
    <t>Благоустройство ППКД Мамисон-1</t>
  </si>
  <si>
    <t xml:space="preserve"> ЛС-07-01-03</t>
  </si>
  <si>
    <t>Дополнительная доставка материалов к смете ЛС-07-01-02</t>
  </si>
  <si>
    <t>16.1</t>
  </si>
  <si>
    <t>16.2</t>
  </si>
  <si>
    <t xml:space="preserve"> ЛС-07-02-01</t>
  </si>
  <si>
    <t>Вертикальная планировка ППКД Мамисон-2</t>
  </si>
  <si>
    <t xml:space="preserve"> ЛС-07-02-02</t>
  </si>
  <si>
    <t>Благоустройство ППКД Мамисон-2</t>
  </si>
  <si>
    <t xml:space="preserve"> ЛС-07-02-03</t>
  </si>
  <si>
    <t>Дополнительная доставка материалов к смете ЛС-07-02-02</t>
  </si>
  <si>
    <t>ЛС-09-01-01</t>
  </si>
  <si>
    <t>Пусконаладочные работы оборудования Мамисон 1</t>
  </si>
  <si>
    <t>ЛС-09-01-02</t>
  </si>
  <si>
    <t>Пусконаладочные работы электрического оборудования Мамисон 1</t>
  </si>
  <si>
    <t>ЛС-09-01-03</t>
  </si>
  <si>
    <t>Пусконаладочные работы систем АПС, АУП, СКУД Мамисон 1</t>
  </si>
  <si>
    <t>20.1</t>
  </si>
  <si>
    <t>20.2</t>
  </si>
  <si>
    <t>20.3</t>
  </si>
  <si>
    <t>ЛС-09-02-01</t>
  </si>
  <si>
    <t>Пусконаладочные работы оборудования Мамисон 2</t>
  </si>
  <si>
    <t>ЛС-09-02-02</t>
  </si>
  <si>
    <t>Пусконаладочные работы электрического оборудования Мамисон 2</t>
  </si>
  <si>
    <t>ЛС-09-02-03</t>
  </si>
  <si>
    <t>Пусконаладочные работы систем АПС, АУП, СКУД Мамисон 2</t>
  </si>
  <si>
    <t>21.1</t>
  </si>
  <si>
    <t>21.2</t>
  </si>
  <si>
    <t>21.3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</si>
  <si>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</si>
  <si>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</si>
  <si>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</si>
  <si>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</si>
  <si>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</si>
  <si>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</si>
  <si>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</si>
  <si>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</si>
  <si>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</si>
  <si>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</si>
  <si>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</si>
  <si>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</si>
  <si>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</si>
  <si>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02-03-01</t>
  </si>
  <si>
    <t>Устройство армонасыпи</t>
  </si>
  <si>
    <t>02-03-02</t>
  </si>
  <si>
    <t>Противоэрозионная защита</t>
  </si>
  <si>
    <t>02-03-03</t>
  </si>
  <si>
    <t>Берегоукрепительные работы</t>
  </si>
  <si>
    <t>02-03-04</t>
  </si>
  <si>
    <t>Поверхностный водоотвод</t>
  </si>
  <si>
    <t>02-03-05</t>
  </si>
  <si>
    <t>Лавинные стены ППКД-1</t>
  </si>
  <si>
    <t>02-03-06</t>
  </si>
  <si>
    <t>Анкерные  поля</t>
  </si>
  <si>
    <t>02-03-07</t>
  </si>
  <si>
    <t>02-03-08</t>
  </si>
  <si>
    <t>02-03-09</t>
  </si>
  <si>
    <t>Лавинные стены.ППКД-2</t>
  </si>
  <si>
    <t>02-03-10</t>
  </si>
  <si>
    <t>02-03-11</t>
  </si>
  <si>
    <t>05-01-01</t>
  </si>
  <si>
    <t>05-01-02</t>
  </si>
  <si>
    <t>Внутриплощадочные сети связи, программное обеспечение</t>
  </si>
  <si>
    <t>7.1</t>
  </si>
  <si>
    <t>7.2</t>
  </si>
  <si>
    <t>7.3</t>
  </si>
  <si>
    <t>12.1</t>
  </si>
  <si>
    <t>12.2</t>
  </si>
  <si>
    <t xml:space="preserve"> оборудования ППКД.</t>
  </si>
  <si>
    <t>оборудования ППКД</t>
  </si>
  <si>
    <t>Линейные опоры №3-№16</t>
  </si>
  <si>
    <t>Линейные опоры №17-№23</t>
  </si>
  <si>
    <t>Верхняя станция</t>
  </si>
  <si>
    <t>5.1.1</t>
  </si>
  <si>
    <t>5.1.2</t>
  </si>
  <si>
    <t>5.1.3</t>
  </si>
  <si>
    <t>Монтаж металлоконструкций опор и станций</t>
  </si>
  <si>
    <t>Монтаж оборудования ППКД</t>
  </si>
  <si>
    <t>5.2.1</t>
  </si>
  <si>
    <t>5.2.2</t>
  </si>
  <si>
    <t>5.2.3</t>
  </si>
  <si>
    <t>Приводная станция верхняя</t>
  </si>
  <si>
    <t>5.3.1</t>
  </si>
  <si>
    <t>5.3.2</t>
  </si>
  <si>
    <t>5.3.3</t>
  </si>
  <si>
    <t>Натяжная станция нижняя</t>
  </si>
  <si>
    <t>Линия ППКД</t>
  </si>
  <si>
    <t>Работы ниже 0.000</t>
  </si>
  <si>
    <t>5.4.1</t>
  </si>
  <si>
    <t>Монтаж здания</t>
  </si>
  <si>
    <t>Отопление и вентиляция</t>
  </si>
  <si>
    <t>5.4.2</t>
  </si>
  <si>
    <t>5.4.3</t>
  </si>
  <si>
    <t>Мебель</t>
  </si>
  <si>
    <t>5.4.4</t>
  </si>
  <si>
    <t>5.6.1</t>
  </si>
  <si>
    <t>5.6.2</t>
  </si>
  <si>
    <t>5.6.3</t>
  </si>
  <si>
    <t>5.6.4</t>
  </si>
  <si>
    <t>Земляные работы</t>
  </si>
  <si>
    <t>5.8.1</t>
  </si>
  <si>
    <t>5.8.2</t>
  </si>
  <si>
    <t>5.8.3</t>
  </si>
  <si>
    <t>Бетонные работы</t>
  </si>
  <si>
    <t>Архитектурные решения</t>
  </si>
  <si>
    <t>5.10.1</t>
  </si>
  <si>
    <t>Здание "помещение дежурного" на нижней станции</t>
  </si>
  <si>
    <t>Здание "помещение дежурного" на верхней станции</t>
  </si>
  <si>
    <t>5.10.2</t>
  </si>
  <si>
    <t>5.10.3</t>
  </si>
  <si>
    <t>Здание "Парковка подвижного состава" на нижней станции</t>
  </si>
  <si>
    <t>5.11.1</t>
  </si>
  <si>
    <t>5.11.2</t>
  </si>
  <si>
    <t>5.11.3</t>
  </si>
  <si>
    <t>Здание операторской на нижней станции</t>
  </si>
  <si>
    <t>Здание операторской на верхней станции</t>
  </si>
  <si>
    <t xml:space="preserve"> Здание парковки подвижного состава</t>
  </si>
  <si>
    <t>5.12.1</t>
  </si>
  <si>
    <t>5.12.2</t>
  </si>
  <si>
    <t>АУПТ на верхней станции</t>
  </si>
  <si>
    <t>АУПТ здания парковки подвижного состава</t>
  </si>
  <si>
    <t>5.13.1</t>
  </si>
  <si>
    <t>5.13.2</t>
  </si>
  <si>
    <t>5.13.3</t>
  </si>
  <si>
    <t>Вертикальная планировка на нижней станции ППКД (НСКД)</t>
  </si>
  <si>
    <t>16.1.1</t>
  </si>
  <si>
    <t>Вертикальная планировка на верхней станции канатной дороги (ВСКД)</t>
  </si>
  <si>
    <t>16.1.2</t>
  </si>
  <si>
    <t>16.1.3</t>
  </si>
  <si>
    <t>По линии ППКД (1909-ТКР1.ПЗ лист 9)</t>
  </si>
  <si>
    <t>Нижняя станция ППКД</t>
  </si>
  <si>
    <t>16.2.1</t>
  </si>
  <si>
    <t>Верхняя станция ППКД</t>
  </si>
  <si>
    <t>16.2.2</t>
  </si>
  <si>
    <t>Линейные опоры №1-№3</t>
  </si>
  <si>
    <t>6.1.1</t>
  </si>
  <si>
    <t>Линейные опоры №4- №13</t>
  </si>
  <si>
    <t>Нижняя станция</t>
  </si>
  <si>
    <t>6.1.2</t>
  </si>
  <si>
    <t>6.1.3</t>
  </si>
  <si>
    <t>6.1.4</t>
  </si>
  <si>
    <t>6.2.1</t>
  </si>
  <si>
    <t>Монтаж оборудования</t>
  </si>
  <si>
    <t>6.2.2</t>
  </si>
  <si>
    <t>6.2.6</t>
  </si>
  <si>
    <t>6.3.1</t>
  </si>
  <si>
    <t>Натяжная станция верхняя</t>
  </si>
  <si>
    <t>6.3.2</t>
  </si>
  <si>
    <t>6.3.3</t>
  </si>
  <si>
    <t>6.4.1</t>
  </si>
  <si>
    <t>6.4.2</t>
  </si>
  <si>
    <t>6.4.3</t>
  </si>
  <si>
    <t>6.4.4</t>
  </si>
  <si>
    <t>6.6.1</t>
  </si>
  <si>
    <t>6.6.2</t>
  </si>
  <si>
    <t>6.6.3</t>
  </si>
  <si>
    <t>6.6.4</t>
  </si>
  <si>
    <t>6.8.1</t>
  </si>
  <si>
    <t>Устройство фундаментов</t>
  </si>
  <si>
    <t>6.8.2</t>
  </si>
  <si>
    <t>6.10.1</t>
  </si>
  <si>
    <t>6.10.2</t>
  </si>
  <si>
    <t>6.10.3</t>
  </si>
  <si>
    <t>6.11.1</t>
  </si>
  <si>
    <t>6.11.2</t>
  </si>
  <si>
    <t>6.11.3</t>
  </si>
  <si>
    <t>Здание парковки подвижного состава</t>
  </si>
  <si>
    <t>6.13.1</t>
  </si>
  <si>
    <t>6.13.2</t>
  </si>
  <si>
    <t>6.13.3</t>
  </si>
  <si>
    <t>17.1</t>
  </si>
  <si>
    <t>17.1.1</t>
  </si>
  <si>
    <t>17.1.2</t>
  </si>
  <si>
    <t>17.1.3</t>
  </si>
  <si>
    <t>17.2</t>
  </si>
  <si>
    <t>17.2.1</t>
  </si>
  <si>
    <t>17.2.2</t>
  </si>
  <si>
    <t>1.1</t>
  </si>
  <si>
    <t>1.2</t>
  </si>
  <si>
    <t>Расчистка полотна трасс от крупных валунов</t>
  </si>
  <si>
    <t>Земляные работы по трассе 1d на участке ПК23+50 - ПК35+70</t>
  </si>
  <si>
    <t>Снятие плодородного слоя</t>
  </si>
  <si>
    <t>2.1</t>
  </si>
  <si>
    <t>2.2</t>
  </si>
  <si>
    <t>Фитомелиоративные работы (Гидропосев)</t>
  </si>
  <si>
    <t>7.1.1</t>
  </si>
  <si>
    <t>7.1.2</t>
  </si>
  <si>
    <t>7.1.3</t>
  </si>
  <si>
    <t>7.1.4</t>
  </si>
  <si>
    <t>7.1.5</t>
  </si>
  <si>
    <t>Подпорная  стена тип I</t>
  </si>
  <si>
    <t>Устройство подпорной стены тип II (L=42,89  м)</t>
  </si>
  <si>
    <t>Устройство подпорной стены тип III (L=406,74  м)</t>
  </si>
  <si>
    <t>Устройство контрфорсов подпорной стены тип III (10 шт)</t>
  </si>
  <si>
    <t>Устройство перильного ограждения</t>
  </si>
  <si>
    <t>7.2.1</t>
  </si>
  <si>
    <t>7.2.2</t>
  </si>
  <si>
    <t>Устройство противоэрозионной защиты</t>
  </si>
  <si>
    <t>7.3.1</t>
  </si>
  <si>
    <t>7.3.2</t>
  </si>
  <si>
    <t>Устройство берегоукрепления</t>
  </si>
  <si>
    <t>Устройство сетчатых конструкций</t>
  </si>
  <si>
    <t>Устройство направляющей стены  НС-1.1(L=63,10 м) до 2500 м</t>
  </si>
  <si>
    <t>Устройство направляющей стены  НС-1.2(L=80,44 м) выше 2500 м</t>
  </si>
  <si>
    <t>Устройство анкерного поля №1.1</t>
  </si>
  <si>
    <t>Устройство анкерного поля №1.2</t>
  </si>
  <si>
    <t>Устройство анкерного поля №1.7</t>
  </si>
  <si>
    <t>Устройство анкерного поля №1.8</t>
  </si>
  <si>
    <t>Устройство анкерного поля № 1.9</t>
  </si>
  <si>
    <t>Устройство анкерного поля №1.5</t>
  </si>
  <si>
    <t>Устройство анкерного поля №1.3</t>
  </si>
  <si>
    <t>Устройство анкерного поля №1.4</t>
  </si>
  <si>
    <t>Устройство анкерного поля №1.10</t>
  </si>
  <si>
    <t xml:space="preserve"> Устройство направляющей стены  НС-3(L=47,92 м) до 2500 м</t>
  </si>
  <si>
    <t>Устройство направляющей стены  НС-2.1(L=85,79 м) выше 2500 м</t>
  </si>
  <si>
    <t>Устройство направляющей стены  НС-2.2(L=70,89 м) выше 2500 м</t>
  </si>
  <si>
    <t xml:space="preserve"> ЛСР №02-03-01. Дополнительные затраты по транспортировке строительных материалов по ФССЦ</t>
  </si>
  <si>
    <t>ЛСР №02-03-02. Дополнительные затраты по транспортировке строительных материалов по ФССЦ</t>
  </si>
  <si>
    <t>ЛСР №02-03-03. Дополнительные затраты по транспортировке строительных материалов по ФССЦ</t>
  </si>
  <si>
    <t>ЛСР №02-03-04. Дополнительные затраты по транспортировке строительных материалов по ФССЦ</t>
  </si>
  <si>
    <t>ЛСР №02-03-05. Дополнительные затраты по транспортировке строительных материалов по ФССЦ</t>
  </si>
  <si>
    <t>ЛСР №02-03-06. Дополнительные затраты по транспортировке строительных материалов по ФССЦ</t>
  </si>
  <si>
    <t>ЛСР №02-03-07. Дополнительные затраты по транспортировке строительных материалов по ФССЦ</t>
  </si>
  <si>
    <t>ЛСР №02-03-08. Дополнительные затраты по транспортировке строительных материалов по ФССЦ</t>
  </si>
  <si>
    <t>ЛСР №02-03-09. Дополнительные затраты по транспортировке строительных материалов по ФССЦ</t>
  </si>
  <si>
    <t>ЛСР №02-03-10. Дополнительные затраты по транспортировке строительных материалов по ФССЦ</t>
  </si>
  <si>
    <t>8.1</t>
  </si>
  <si>
    <t>8.2</t>
  </si>
  <si>
    <t>8.3</t>
  </si>
  <si>
    <t>8.4</t>
  </si>
  <si>
    <t>Земляные работы для устройства опор сетей безопасности тип "А" до 2500 м</t>
  </si>
  <si>
    <t>Земляные работы для устройства опор сетей безопасности тип "А" выше 2500 м</t>
  </si>
  <si>
    <t>Стационарные сети тип А на опорах типа "С" до 2500 м</t>
  </si>
  <si>
    <t>Стационарные сети тип А на опорах типа "С" выше 2500 м</t>
  </si>
  <si>
    <t>8.5</t>
  </si>
  <si>
    <t>8.6</t>
  </si>
  <si>
    <t>8.7</t>
  </si>
  <si>
    <t>Ограждение из сетки</t>
  </si>
  <si>
    <t>Якоря для снегоуплотнительных машин</t>
  </si>
  <si>
    <t>Лыжные траволаторы</t>
  </si>
  <si>
    <t>Левобережный устой</t>
  </si>
  <si>
    <t>9.1</t>
  </si>
  <si>
    <t>Устройство ростверка, забирки, шкафной стенки, открылков, подферменников</t>
  </si>
  <si>
    <t>9.2</t>
  </si>
  <si>
    <t>9.3</t>
  </si>
  <si>
    <t>9.4</t>
  </si>
  <si>
    <t>9.5</t>
  </si>
  <si>
    <t>Устройство подпорной стенки</t>
  </si>
  <si>
    <t>Правобережный устой</t>
  </si>
  <si>
    <t>Устройство ростверка, шкафной стенки открылков, подферменников</t>
  </si>
  <si>
    <t>9.6</t>
  </si>
  <si>
    <t>9.7</t>
  </si>
  <si>
    <t>Крепление конусов устоев</t>
  </si>
  <si>
    <t>Сопряжение моста с подходами</t>
  </si>
  <si>
    <t>Устройство пролетного строения. Фермы 4шт. пролетом L=19м</t>
  </si>
  <si>
    <t>9.8</t>
  </si>
  <si>
    <t>9.9</t>
  </si>
  <si>
    <t>Дополнительная доставка материалов</t>
  </si>
  <si>
    <t>10.1</t>
  </si>
  <si>
    <t>10.2</t>
  </si>
  <si>
    <t>10.3</t>
  </si>
  <si>
    <t>10.4</t>
  </si>
  <si>
    <t>10.5</t>
  </si>
  <si>
    <t>10.6</t>
  </si>
  <si>
    <t>10.7</t>
  </si>
  <si>
    <t>10.8</t>
  </si>
  <si>
    <t>Устройство пролетного строения L=15м</t>
  </si>
  <si>
    <t>11.1</t>
  </si>
  <si>
    <t>11.2</t>
  </si>
  <si>
    <t>11.3</t>
  </si>
  <si>
    <t>Прокладка кабеля</t>
  </si>
  <si>
    <t>ВРУ</t>
  </si>
  <si>
    <t>Строительные работы</t>
  </si>
  <si>
    <t>Кроссовое оборудование</t>
  </si>
  <si>
    <t>Измерение ВОК</t>
  </si>
  <si>
    <t>Оборудование доступа</t>
  </si>
  <si>
    <t>СКС Мамисон-1</t>
  </si>
  <si>
    <t>СКС Мамисон-2</t>
  </si>
  <si>
    <t>13.1</t>
  </si>
  <si>
    <t>13.2</t>
  </si>
  <si>
    <t>13.3</t>
  </si>
  <si>
    <t>Колодцы</t>
  </si>
  <si>
    <t>Водоотведение</t>
  </si>
  <si>
    <t>КНС</t>
  </si>
  <si>
    <t>13.4</t>
  </si>
  <si>
    <t>13.5</t>
  </si>
  <si>
    <t xml:space="preserve"> Дополнительная доставка материалов</t>
  </si>
  <si>
    <t>14.1</t>
  </si>
  <si>
    <t>14.2</t>
  </si>
  <si>
    <t>14.3</t>
  </si>
  <si>
    <t>14.4</t>
  </si>
  <si>
    <t>Трубопроводы</t>
  </si>
  <si>
    <t>14.5</t>
  </si>
  <si>
    <t>14.6</t>
  </si>
  <si>
    <t>ВНС</t>
  </si>
  <si>
    <t>Пожарный резервуар</t>
  </si>
  <si>
    <t>15.1</t>
  </si>
  <si>
    <t>Трубопроводная сеть</t>
  </si>
  <si>
    <t>Арматура</t>
  </si>
  <si>
    <t>15.2</t>
  </si>
  <si>
    <t>15.3</t>
  </si>
  <si>
    <t>Прочие работы</t>
  </si>
  <si>
    <t>15.4</t>
  </si>
  <si>
    <t>15.5</t>
  </si>
  <si>
    <t>В текущем уровне цен 4 квартала 2019 г., руб. (СМР: гл.1, 2, 5, 7, 8, 9 - 8,1, гл.4 - 5,55, Водоотведение -8,98, Водоснабжение - 5,99, Газоснабжение -7,99,  РД-4,27, Изыск.-4,35  Оборудование - 4,09, ПНР-15,92, прочие - 10,79 
по письмам Минстроя России от 31.12.2019 № 51579-ДВ/09;
от 25.12.2019 № 50583-ДВ/09, от 09.12.2019 №46999-ДВ/09 ) с учетом временных зданий и сооружений.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</si>
  <si>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</si>
  <si>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</si>
  <si>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по адресу:</t>
  </si>
  <si>
    <t>Основания для расчета:</t>
  </si>
  <si>
    <r>
      <t>1. Приказ об утверждении проектной документации, включая сводный сметный расчет стоимости строительства от</t>
    </r>
    <r>
      <rPr>
        <sz val="12"/>
        <color rgb="FFFF0000"/>
        <rFont val="Times New Roman"/>
        <family val="1"/>
        <charset val="204"/>
      </rPr>
      <t xml:space="preserve"> __.__.2020 № Пр-20-___.</t>
    </r>
  </si>
  <si>
    <t>рублей</t>
  </si>
  <si>
    <t>Стоимость работ в ценах утверждения сметной документации- 4 квартал 2019 г.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</si>
  <si>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</si>
  <si>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</si>
  <si>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</si>
  <si>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</si>
  <si>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3. Утвержденный сводный сметный расчет стоимости строительстваобъектов всесезонного туристско-рекреационного комплекса «Мамисон» (поселок Калак, этап 1)</t>
  </si>
  <si>
    <t>Рабочая документация</t>
  </si>
  <si>
    <t>Разработка проектной документации (стадия "Рабочая документация")</t>
  </si>
  <si>
    <t>2</t>
  </si>
  <si>
    <t xml:space="preserve">Подготовительные работы, в том числе: </t>
  </si>
  <si>
    <t>2.1.1</t>
  </si>
  <si>
    <t>2.1.1.1</t>
  </si>
  <si>
    <t>2.1.1.2</t>
  </si>
  <si>
    <t>2.1.2</t>
  </si>
  <si>
    <t>2.1.2.1</t>
  </si>
  <si>
    <t>2.1.2.2</t>
  </si>
  <si>
    <t>2.1.3</t>
  </si>
  <si>
    <t>2.1.4</t>
  </si>
  <si>
    <t xml:space="preserve">Проведение спасательных археологических исследований </t>
  </si>
  <si>
    <t xml:space="preserve">Возмещение ущерба, наносимого водным биоресурсам </t>
  </si>
  <si>
    <t>Основные объекты строительства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</si>
  <si>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</si>
  <si>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</si>
  <si>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</si>
  <si>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</si>
  <si>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</si>
  <si>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</si>
  <si>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</si>
  <si>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</si>
  <si>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</si>
  <si>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</si>
  <si>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</si>
  <si>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</si>
  <si>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</si>
  <si>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</si>
  <si>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Линейные опоры №3-№12.2.20.</t>
  </si>
  <si>
    <t>1</t>
  </si>
  <si>
    <t>3</t>
  </si>
  <si>
    <t>4</t>
  </si>
  <si>
    <t>2.3</t>
  </si>
  <si>
    <t>2.3.1</t>
  </si>
  <si>
    <t>5</t>
  </si>
  <si>
    <t>6</t>
  </si>
  <si>
    <t>7</t>
  </si>
  <si>
    <t>8</t>
  </si>
  <si>
    <t>9</t>
  </si>
  <si>
    <t>Объекты энергетического хозяйства</t>
  </si>
  <si>
    <t>Объекты транспортного хозяйства и связи</t>
  </si>
  <si>
    <t>Наружные сети и сооружения водоснабжения, водоотведения, теплоснабжения и газоснабжения</t>
  </si>
  <si>
    <t>Благоустройство и озеленение территории</t>
  </si>
  <si>
    <t>3.1</t>
  </si>
  <si>
    <t>3.2</t>
  </si>
  <si>
    <t>3.2.1</t>
  </si>
  <si>
    <t>3.2.2</t>
  </si>
  <si>
    <t>3.2.3</t>
  </si>
  <si>
    <t xml:space="preserve">Расчет платы за негативное воздействие </t>
  </si>
  <si>
    <t xml:space="preserve">Компенсация затрат по аренде вертолетов </t>
  </si>
  <si>
    <t>Производственный экологический контроль и мониторинг</t>
  </si>
  <si>
    <t xml:space="preserve">Выполнение мониторинга и разработка плана мероприятий по защите объектов </t>
  </si>
  <si>
    <t>Стоимость без учета НДС</t>
  </si>
  <si>
    <t>НДС-20%</t>
  </si>
  <si>
    <t>Стоимость с учетом НДС</t>
  </si>
  <si>
    <t>возвратные суммы 15% от разборки временных зданий и сооружений (от глав 1, 2, 5, 7) Исмр=8,1</t>
  </si>
  <si>
    <t>возвратные суммы 15% от разборки временных зданий и сооружений (от главы 4) Исмр=5,55</t>
  </si>
  <si>
    <t>возвратные суммы 15% от разборки временных зданий и сооружений (от главы 6 Водоотведение) Исмр=8,98</t>
  </si>
  <si>
    <t>возвратные суммы 15% от разборки временных зданий и сооружений (от главы 6 Водоснабжение) Исмр=5,99</t>
  </si>
  <si>
    <t>возвратные суммы 15% от разборки временных зданий и сооружений (от главы 6 Газоснабжение) Исмр=7,99</t>
  </si>
  <si>
    <t>Итого вовратных сумм без непредвиденных и НДС</t>
  </si>
  <si>
    <t>Непредвиденные 2%</t>
  </si>
  <si>
    <t>Итого вовратных сумм с учетом непредвиденных</t>
  </si>
  <si>
    <t>НДС 20%</t>
  </si>
  <si>
    <t>Всего возвратных сумм с учетом НДС</t>
  </si>
  <si>
    <t>В том числе:</t>
  </si>
  <si>
    <t>Итого по сводному расчету с учетом возвратных сумм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</si>
  <si>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</si>
  <si>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</si>
  <si>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</si>
  <si>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</si>
  <si>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</si>
  <si>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</si>
  <si>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</si>
  <si>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</si>
  <si>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</si>
  <si>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</si>
  <si>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</si>
  <si>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</si>
  <si>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</si>
  <si>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2.4</t>
  </si>
  <si>
    <t>2.4.1</t>
  </si>
  <si>
    <t>2.4.2</t>
  </si>
  <si>
    <t>2.4.3</t>
  </si>
  <si>
    <t>2.5</t>
  </si>
  <si>
    <t>2.6</t>
  </si>
  <si>
    <t>2.7</t>
  </si>
  <si>
    <t>2.8</t>
  </si>
  <si>
    <t>2.9</t>
  </si>
  <si>
    <t>2.9.1</t>
  </si>
  <si>
    <t>2.9.2</t>
  </si>
  <si>
    <t>2.10</t>
  </si>
  <si>
    <t>2.11</t>
  </si>
  <si>
    <t>2.12</t>
  </si>
  <si>
    <t>2.13</t>
  </si>
  <si>
    <t>2.14</t>
  </si>
  <si>
    <t>3.1.2</t>
  </si>
  <si>
    <t>3.1.1</t>
  </si>
  <si>
    <t>3.1.3</t>
  </si>
  <si>
    <t>Наименование конструктивных решений (элементов), комплексов (видов) работ</t>
  </si>
  <si>
    <t>Пусконаладочные работы</t>
  </si>
  <si>
    <t>Авторский надзор</t>
  </si>
  <si>
    <t>2.15</t>
  </si>
  <si>
    <t>2.16</t>
  </si>
  <si>
    <t>2.17</t>
  </si>
  <si>
    <t>2.18</t>
  </si>
  <si>
    <t>доля ПНР от суммы СМР и ПНР</t>
  </si>
  <si>
    <t>Рекультивация</t>
  </si>
  <si>
    <t>Строительство (строительно-монтажные работы, оборудование поставки подрядчика, прочие затраты)</t>
  </si>
  <si>
    <t>Единица измерения</t>
  </si>
  <si>
    <t>Количество (объем работ)</t>
  </si>
  <si>
    <t>комплекс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</si>
  <si>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</si>
  <si>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В том числе Оборудование</t>
  </si>
  <si>
    <t>Ведомость объемов конструктивных решений (элементов) и комплексов (видов) работ</t>
  </si>
  <si>
    <t>ПРОЕКТ СМЕТЫ КОНТРАКТА</t>
  </si>
  <si>
    <t>Цена, руб.</t>
  </si>
  <si>
    <t>На единицу измерения</t>
  </si>
  <si>
    <t>Всего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</si>
  <si>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</si>
  <si>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</si>
  <si>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</si>
  <si>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</si>
  <si>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</si>
  <si>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-затраты на разработку рабочей документации;</t>
  </si>
  <si>
    <t>- затраты на оплату труда рабочих-строителей;</t>
  </si>
  <si>
    <t>-затраты на приобретение материалов, изделий и конструкций;</t>
  </si>
  <si>
    <t>-затраты на эксплуатацию машин и механизмов;</t>
  </si>
  <si>
    <t>-накладные расходы;</t>
  </si>
  <si>
    <t>-сметную прибыль;</t>
  </si>
  <si>
    <t>-стоимость оборудования поставки подрядчика;</t>
  </si>
  <si>
    <t>-затраты на строительство временных зданий и сооружений;</t>
  </si>
  <si>
    <t>-возврат от разборки временных зданий и сооружений в размере 15% от суммы затрат на их возведение;</t>
  </si>
  <si>
    <t>-удорожание работ в зимнее время;</t>
  </si>
  <si>
    <t>-плата за негативное воздействие на окружающую среду;</t>
  </si>
  <si>
    <t>-шеф-монтаж оборудования ППКД EL6;</t>
  </si>
  <si>
    <t>-пусконаладочные работы "вхолостую";</t>
  </si>
  <si>
    <t>-затраты на авторский надзор;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</si>
  <si>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</si>
  <si>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</si>
  <si>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</si>
  <si>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</si>
  <si>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</si>
  <si>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363203 Россия, Респ. Северная Осетия - Алания, Алагирский р-н, с. Калак</t>
  </si>
  <si>
    <t>НАЧАЛЬНАЯ МАКСИМАЛЬНАЯ ЦЕНА ДОГОВОРА</t>
  </si>
  <si>
    <t>гора Эльбрус, Эльбрусский муниципальный район, Кабардино-Балкарская Республика, Российская Федерация</t>
  </si>
  <si>
    <t>2. Заключение Федерального автономного учреждения "Главное управление государственной экспертизы" (ФАУ "ГЛАВГОСЭКСПЕРТИЗА РОССИИ") от 30.03.2020 № в ЕГРЗ 07-1-1-3-009540-2020.</t>
  </si>
  <si>
    <t>3. Утвержденный сводный сметный расчет стоимости строительства "Всесезонный туристско-рекреационный комплекс «Эльбрус», 
Кабардино-Балкарская Республика. Пассажирская подвесная канатная дорога EL3"</t>
  </si>
  <si>
    <t>Виды (наименования) работ</t>
  </si>
  <si>
    <r>
      <t>Стоимость работ в ценах на дату формирования начальной (максимальной) цены контракта -</t>
    </r>
    <r>
      <rPr>
        <sz val="12"/>
        <color rgb="FFFF0000"/>
        <rFont val="Times New Roman"/>
        <family val="1"/>
        <charset val="204"/>
      </rPr>
      <t xml:space="preserve"> июнь 2020 г.</t>
    </r>
  </si>
  <si>
    <t>Итого, руб.</t>
  </si>
  <si>
    <t>Всего с учетом НДС, руб.</t>
  </si>
  <si>
    <t>Составил:</t>
  </si>
  <si>
    <t>Проверил:</t>
  </si>
  <si>
    <t>ПОЯСНИТЕЛЬНАЯ ЗАПИСКА</t>
  </si>
  <si>
    <t>К РАСЧЕТУ НАЧАЛЬНОЙ МАКСИМАЛЬНОЙ ЦЕНЫ ДОГОВОРА</t>
  </si>
  <si>
    <t xml:space="preserve">Начальная максимальная цена договора ( далее - НМЦД) определена в соответствии с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</si>
  <si>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Расчет стоимости проектных работ и строительства выполнен проектно- сметным методом.</t>
  </si>
  <si>
    <t>Описание метода расчета стоимости проектных работ</t>
  </si>
  <si>
    <t>Описание метода расчета стоимости строительства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</si>
  <si>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</si>
  <si>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</si>
  <si>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</si>
  <si>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Индексы пересчета в текущие цены  на  4 квартал 2019 г. приняты согласно Письмам Минстроя РФ от 25.12.2019 №50583-ДВ/09, от 31.12.2019 №51579-ДВ/09.</t>
  </si>
  <si>
    <t>Индекс пересчета в текущие цены  на  4 квартал 2019 г. принят согласно Письму Минстроя РФ от 09.12.2019 N 46999-ДВ/09.</t>
  </si>
  <si>
    <t>Стоимость проживания рабочих на объекте строительства принята в размере 550 руб. в сутки на человека согласно Постановлению Правительства РФ от 02.10.2002 г. № 729.</t>
  </si>
  <si>
    <t>для ГЛТ 1d</t>
  </si>
  <si>
    <t>КД1</t>
  </si>
  <si>
    <t>НС-3 для КД2</t>
  </si>
  <si>
    <t>в том числе:</t>
  </si>
  <si>
    <t>Ведомость участков противоэрозионной защиты</t>
  </si>
  <si>
    <t>N участка</t>
  </si>
  <si>
    <t>Положение</t>
  </si>
  <si>
    <t xml:space="preserve"> Горнолыжная трасса 1d</t>
  </si>
  <si>
    <t xml:space="preserve"> Горнолыжная трасса 1f</t>
  </si>
  <si>
    <t xml:space="preserve"> Горнолыжная трасса 2a</t>
  </si>
  <si>
    <t xml:space="preserve"> НСКД Мамисон-1</t>
  </si>
  <si>
    <t xml:space="preserve"> Ниже опоры 8 ППКД Мамисон-1</t>
  </si>
  <si>
    <t xml:space="preserve"> Выше опоры 8 ППКД Мамисон-1</t>
  </si>
  <si>
    <t xml:space="preserve"> Ниже опоры 10 ППКД Мамисон-1</t>
  </si>
  <si>
    <t xml:space="preserve"> Выше опоры 11 ППКД Мамисон-1</t>
  </si>
  <si>
    <t xml:space="preserve"> Опора 14-15 ППКД Мамисон-1</t>
  </si>
  <si>
    <t xml:space="preserve"> Ниже опоры 19 ППКД Мамисон-1</t>
  </si>
  <si>
    <t xml:space="preserve"> Опора 21 ППКД Мамисон-1</t>
  </si>
  <si>
    <t>ВСКД Мамисон-1</t>
  </si>
  <si>
    <t xml:space="preserve"> НСКД Мамисон-2</t>
  </si>
  <si>
    <t xml:space="preserve"> Опора 8 ППКД Мамисон-2</t>
  </si>
  <si>
    <t xml:space="preserve"> Опора 8-9 ППКД Мамисон-2</t>
  </si>
  <si>
    <t>Опора 9 ППКД Мамисон-2</t>
  </si>
  <si>
    <t xml:space="preserve"> Опора 10 ППКД Мамисон-2</t>
  </si>
  <si>
    <t xml:space="preserve"> ВСКД Мамисон-2</t>
  </si>
  <si>
    <t>ПЭЗ-1</t>
  </si>
  <si>
    <t>ПЭЗ-2</t>
  </si>
  <si>
    <t>ПЭЗ-3</t>
  </si>
  <si>
    <t>ПЭЗ-4</t>
  </si>
  <si>
    <t xml:space="preserve">ПЭЗ-5 </t>
  </si>
  <si>
    <t>ПЭЗ-1.1</t>
  </si>
  <si>
    <t>ПЭЗ-1.2</t>
  </si>
  <si>
    <t>ПЭЗ-1.3</t>
  </si>
  <si>
    <t>ПЭЗ-1.4</t>
  </si>
  <si>
    <t>ПЭЗ-1.5</t>
  </si>
  <si>
    <t>ПЭЗ-1.6</t>
  </si>
  <si>
    <t>ПЭЗ-1.7</t>
  </si>
  <si>
    <t>ПЭЗ-1.8</t>
  </si>
  <si>
    <t>ПЭЗ-1.9</t>
  </si>
  <si>
    <t>ПЭЗ-2.1</t>
  </si>
  <si>
    <t>ПЭЗ-2.2</t>
  </si>
  <si>
    <t>ПЭЗ-2.3</t>
  </si>
  <si>
    <t xml:space="preserve">ПЭЗ-2.4 </t>
  </si>
  <si>
    <t>ПЭЗ-2.5</t>
  </si>
  <si>
    <t>ПЭЗ-2.6</t>
  </si>
  <si>
    <t xml:space="preserve">ИТОГО </t>
  </si>
  <si>
    <t>Площадь закрепления, м2</t>
  </si>
  <si>
    <t>Противоэрозионная защита Горнолыжная трасса 1d</t>
  </si>
  <si>
    <t xml:space="preserve"> Противоэрозионная защита Горнолыжная трасса 1f</t>
  </si>
  <si>
    <t xml:space="preserve"> Противоэрозионная защита Горнолыжная трасса 2a</t>
  </si>
  <si>
    <t xml:space="preserve"> Противоэрозионная защита 
КД Мамисон-1</t>
  </si>
  <si>
    <t xml:space="preserve"> Противоэрозионная защита 
КД Мамисон-2</t>
  </si>
  <si>
    <t>КД Мамисон-1</t>
  </si>
  <si>
    <t>КД Мамисон-2</t>
  </si>
  <si>
    <t>7.1.1.1</t>
  </si>
  <si>
    <t>7.1.1.2</t>
  </si>
  <si>
    <t>7.1.1.3</t>
  </si>
  <si>
    <t>7.1.1.4</t>
  </si>
  <si>
    <t>7.1.1.5</t>
  </si>
  <si>
    <t>7.1.1.6</t>
  </si>
  <si>
    <t>7.1.1.7</t>
  </si>
  <si>
    <t>7.1.2.1</t>
  </si>
  <si>
    <t>7.1.2.2</t>
  </si>
  <si>
    <t>7.1.2.3</t>
  </si>
  <si>
    <t>7.2.1.1</t>
  </si>
  <si>
    <t>7.2.1.2</t>
  </si>
  <si>
    <t>7.2.1.3</t>
  </si>
  <si>
    <t>7.2.2.1</t>
  </si>
  <si>
    <t>7.2.2.2</t>
  </si>
  <si>
    <t>7.2.2.3</t>
  </si>
  <si>
    <t>7.2.3</t>
  </si>
  <si>
    <t>7.2.3.1</t>
  </si>
  <si>
    <t>7.2.3.2</t>
  </si>
  <si>
    <t>7.2.3.3</t>
  </si>
  <si>
    <t>7.2.4</t>
  </si>
  <si>
    <t>7.2.4.1</t>
  </si>
  <si>
    <t>7.2.4.2</t>
  </si>
  <si>
    <t>7.2.4.3</t>
  </si>
  <si>
    <t>7.2.4.4</t>
  </si>
  <si>
    <t>7.2.4.5</t>
  </si>
  <si>
    <t>7.2.4.6</t>
  </si>
  <si>
    <t>7.2.4.7</t>
  </si>
  <si>
    <t>7.2.4.8</t>
  </si>
  <si>
    <t>7.2.4.9</t>
  </si>
  <si>
    <t>7.2.4.10</t>
  </si>
  <si>
    <t>7.2.5</t>
  </si>
  <si>
    <t>7.3.2.1</t>
  </si>
  <si>
    <t>7.3.2.2</t>
  </si>
  <si>
    <t>7.3.2.3</t>
  </si>
  <si>
    <t>7.3.3</t>
  </si>
  <si>
    <t>7.3.3.1</t>
  </si>
  <si>
    <t>7.3.3.2</t>
  </si>
  <si>
    <t>7.3.3.3</t>
  </si>
  <si>
    <t>7.3.3.4</t>
  </si>
  <si>
    <t>7.3.4</t>
  </si>
  <si>
    <t>7.3.4.1</t>
  </si>
  <si>
    <t>Инженерная защита.Горнолыжные трассы</t>
  </si>
  <si>
    <t>Инженерная защита. КД Мамисон-1</t>
  </si>
  <si>
    <t>Инженерная защита. КД Мамисон-2</t>
  </si>
  <si>
    <t>7.1.3.1</t>
  </si>
  <si>
    <t>7.1.3.2</t>
  </si>
  <si>
    <t>7.2.5.1</t>
  </si>
  <si>
    <t>7.2.5.2</t>
  </si>
  <si>
    <t>Анкерные поля
(Устройство нагельного поля №2.6)</t>
  </si>
  <si>
    <t>7.1.4.1</t>
  </si>
  <si>
    <t>7.1.4.2</t>
  </si>
  <si>
    <t>7.1.5.1</t>
  </si>
  <si>
    <t>7.1.5.2</t>
  </si>
  <si>
    <t>7.3.1.1</t>
  </si>
  <si>
    <t>7.3.1.2</t>
  </si>
  <si>
    <t>7.3.4.2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</si>
  <si>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</si>
  <si>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</si>
  <si>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</si>
  <si>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</si>
  <si>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</si>
  <si>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</si>
  <si>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</si>
  <si>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</si>
  <si>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16.2.3</t>
  </si>
  <si>
    <t>17.2.3</t>
  </si>
  <si>
    <t>Работы по ПОСу
Водоотлив из котлована на нижней станции ППКД</t>
  </si>
  <si>
    <t>5.1.4</t>
  </si>
  <si>
    <t>5.4.5</t>
  </si>
  <si>
    <t>5.3.4</t>
  </si>
  <si>
    <t>5.6.5</t>
  </si>
  <si>
    <t>5.8.4</t>
  </si>
  <si>
    <t>6.1.5</t>
  </si>
  <si>
    <t>6.3.4</t>
  </si>
  <si>
    <t>6.4.5</t>
  </si>
  <si>
    <t>6.6.5</t>
  </si>
  <si>
    <t>6.8.3</t>
  </si>
  <si>
    <t>оборудование ППКД</t>
  </si>
  <si>
    <t>2.2.1.1</t>
  </si>
  <si>
    <t>2.2.1.2</t>
  </si>
  <si>
    <t>2.2.1.3</t>
  </si>
  <si>
    <t>2.2.1.4</t>
  </si>
  <si>
    <t>2.2.3.1</t>
  </si>
  <si>
    <t>2.2.3.2</t>
  </si>
  <si>
    <t>2.2.3.3</t>
  </si>
  <si>
    <t>2.2.3.4</t>
  </si>
  <si>
    <t>2.2.4.1</t>
  </si>
  <si>
    <t>2.2.4.2</t>
  </si>
  <si>
    <t>2.2.4.3</t>
  </si>
  <si>
    <t>2.2.4.4</t>
  </si>
  <si>
    <t>2.2.4.5</t>
  </si>
  <si>
    <t>2.2.6.1</t>
  </si>
  <si>
    <t>2.2.6.2</t>
  </si>
  <si>
    <t>2.2.6.3</t>
  </si>
  <si>
    <t>2.2.6.4</t>
  </si>
  <si>
    <t>2.2.6.5</t>
  </si>
  <si>
    <t>2.3.1.1</t>
  </si>
  <si>
    <t>2.3.1.2</t>
  </si>
  <si>
    <t>2.3.1.3</t>
  </si>
  <si>
    <t>2.3.1.4</t>
  </si>
  <si>
    <t>2.3.1.5</t>
  </si>
  <si>
    <t>2.3.3.1</t>
  </si>
  <si>
    <t>2.3.3.2</t>
  </si>
  <si>
    <t>2.3.3.3</t>
  </si>
  <si>
    <t>2.3.3.4</t>
  </si>
  <si>
    <t>2.3.4.1</t>
  </si>
  <si>
    <t>2.3.4.2</t>
  </si>
  <si>
    <t>2.3.4.3</t>
  </si>
  <si>
    <t>2.3.4.4</t>
  </si>
  <si>
    <t>2.3.4.5</t>
  </si>
  <si>
    <t>2.3.6.1</t>
  </si>
  <si>
    <t>2.3.6.2</t>
  </si>
  <si>
    <t>2.3.6.3</t>
  </si>
  <si>
    <t>2.3.6.4</t>
  </si>
  <si>
    <t>2.3.6.5</t>
  </si>
  <si>
    <t>2.3.8.1</t>
  </si>
  <si>
    <t>2.3.8.2</t>
  </si>
  <si>
    <t>2.3.8.3</t>
  </si>
  <si>
    <t>2.4.1.1</t>
  </si>
  <si>
    <t>2.4.1.2</t>
  </si>
  <si>
    <t>2.4.1.3</t>
  </si>
  <si>
    <t>2.4.1.4</t>
  </si>
  <si>
    <t>2.4.1.5</t>
  </si>
  <si>
    <t>2.4.2.1</t>
  </si>
  <si>
    <t>2.4.2.2</t>
  </si>
  <si>
    <t>2.4.2.3</t>
  </si>
  <si>
    <t>2.4.1.1.1</t>
  </si>
  <si>
    <t>2.4.1.1.2</t>
  </si>
  <si>
    <t>2.4.1.1.3</t>
  </si>
  <si>
    <t>2.4.1.1.4</t>
  </si>
  <si>
    <t>2.4.1.1.5</t>
  </si>
  <si>
    <t>2.4.1.1.6</t>
  </si>
  <si>
    <t>2.4.1.1.7</t>
  </si>
  <si>
    <t>2.4.1.2.1</t>
  </si>
  <si>
    <t>2.4.1.2.2</t>
  </si>
  <si>
    <t>2.4.1.2.3</t>
  </si>
  <si>
    <t>2.4.1.3.1</t>
  </si>
  <si>
    <t>2.4.1.3.2</t>
  </si>
  <si>
    <t>2.4.1.4.1</t>
  </si>
  <si>
    <t>2.4.1.4.2</t>
  </si>
  <si>
    <t>2.4.1.5.1</t>
  </si>
  <si>
    <t>2.4.1.5.2</t>
  </si>
  <si>
    <t>2.4.2.1.1</t>
  </si>
  <si>
    <t>2.4.2.1.2</t>
  </si>
  <si>
    <t>2.4.2.1.3</t>
  </si>
  <si>
    <t>2.4.2.2.1</t>
  </si>
  <si>
    <t>2.4.2.2.2</t>
  </si>
  <si>
    <t>2.4.2.2.3</t>
  </si>
  <si>
    <t>2.4.2.3.1</t>
  </si>
  <si>
    <t>2.4.2.3.2</t>
  </si>
  <si>
    <t>2.4.2.3.3</t>
  </si>
  <si>
    <t>2.4.2.4</t>
  </si>
  <si>
    <t>2.4.2.4.1</t>
  </si>
  <si>
    <t>2.4.2.4.2</t>
  </si>
  <si>
    <t>2.4.2.4.3</t>
  </si>
  <si>
    <t>2.4.2.4.4</t>
  </si>
  <si>
    <t>2.4.2.4.5</t>
  </si>
  <si>
    <t>2.4.2.4.6</t>
  </si>
  <si>
    <t>2.4.2.4.7</t>
  </si>
  <si>
    <t>2.4.2.4.8</t>
  </si>
  <si>
    <t>2.4.2.4.9</t>
  </si>
  <si>
    <t>2.4.2.4.10</t>
  </si>
  <si>
    <t>2.4.2.5</t>
  </si>
  <si>
    <t>2.4.2.5.1</t>
  </si>
  <si>
    <t>2.4.2.5.2</t>
  </si>
  <si>
    <t>2.4.3.1</t>
  </si>
  <si>
    <t>2.4.3.1.1</t>
  </si>
  <si>
    <t>2.4.3.1.2</t>
  </si>
  <si>
    <t>2.4.3.2</t>
  </si>
  <si>
    <t>2.4.3.2.1</t>
  </si>
  <si>
    <t>2.4.3.2.2</t>
  </si>
  <si>
    <t>2.4.3.2.3</t>
  </si>
  <si>
    <t>2.4.3.3</t>
  </si>
  <si>
    <t>2.4.3.3.1</t>
  </si>
  <si>
    <t>2.4.3.3.2</t>
  </si>
  <si>
    <t>2.4.3.3.3</t>
  </si>
  <si>
    <t>2.4.3.3.4</t>
  </si>
  <si>
    <t>2.4.3.4</t>
  </si>
  <si>
    <t>2.4.3.4.1</t>
  </si>
  <si>
    <t>2.4.3.4.2</t>
  </si>
  <si>
    <t>2.2.8.1</t>
  </si>
  <si>
    <t>2.2.8.2</t>
  </si>
  <si>
    <t>2.2.8.3</t>
  </si>
  <si>
    <t>2.2.8.4</t>
  </si>
  <si>
    <t>2.2.10.1</t>
  </si>
  <si>
    <t>2.2.10.2</t>
  </si>
  <si>
    <t>2.2.10.3</t>
  </si>
  <si>
    <t>2.2.11.1</t>
  </si>
  <si>
    <t>2.2.11.2</t>
  </si>
  <si>
    <t>2.2.11.3</t>
  </si>
  <si>
    <t>2.2.12.1</t>
  </si>
  <si>
    <t>2.2.12.2</t>
  </si>
  <si>
    <t>Инженерная защита. Канатная дорога Мамисон-1</t>
  </si>
  <si>
    <t>Инженерная защита. Канатная дорога Мамисон-2</t>
  </si>
  <si>
    <t>Инженерная защита. Горнолыжные трассы</t>
  </si>
  <si>
    <t>2.8.1</t>
  </si>
  <si>
    <t>2.10.1</t>
  </si>
  <si>
    <t>2.10.2</t>
  </si>
  <si>
    <t>2.10.3</t>
  </si>
  <si>
    <t>2.11.1</t>
  </si>
  <si>
    <t>2.11.2</t>
  </si>
  <si>
    <t>2.12.1</t>
  </si>
  <si>
    <t>2.12.2</t>
  </si>
  <si>
    <t>Стоимость работ в ценах на дату формирования начальной (максимальной) цены контракта</t>
  </si>
  <si>
    <t>ЛСР 01-01-01</t>
  </si>
  <si>
    <t>ЛСР 01-02-01</t>
  </si>
  <si>
    <t>ЛСР 01-04-01</t>
  </si>
  <si>
    <t>ЛСР 01-05-01</t>
  </si>
  <si>
    <t>ОС 02-01</t>
  </si>
  <si>
    <t xml:space="preserve"> ЛСР 02-01-01</t>
  </si>
  <si>
    <t xml:space="preserve"> ЛСР 02-01-02</t>
  </si>
  <si>
    <t xml:space="preserve"> ЛСР 02-01-03</t>
  </si>
  <si>
    <t xml:space="preserve"> ЛСР 02-01-04</t>
  </si>
  <si>
    <t xml:space="preserve"> ЛСР 02-01-05</t>
  </si>
  <si>
    <t xml:space="preserve"> ЛСР 02-01-06</t>
  </si>
  <si>
    <t xml:space="preserve"> ЛСР 02-01-07</t>
  </si>
  <si>
    <t xml:space="preserve"> ЛСР 02-01-08</t>
  </si>
  <si>
    <t xml:space="preserve"> ЛСР 02-01-09</t>
  </si>
  <si>
    <t xml:space="preserve"> ЛСР 02-01-10</t>
  </si>
  <si>
    <t xml:space="preserve"> ЛСР 02-01-11</t>
  </si>
  <si>
    <t xml:space="preserve"> ЛСР 02-01-12</t>
  </si>
  <si>
    <t xml:space="preserve"> ЛСР 02-01-13</t>
  </si>
  <si>
    <t xml:space="preserve"> ЛСР 02-01-14</t>
  </si>
  <si>
    <t>ОС 02-02</t>
  </si>
  <si>
    <t xml:space="preserve"> ЛСР 02-02-01</t>
  </si>
  <si>
    <t xml:space="preserve"> ЛСР 02-02-02</t>
  </si>
  <si>
    <t xml:space="preserve"> ЛСР 02-02-03</t>
  </si>
  <si>
    <t xml:space="preserve"> ЛСР 02-02-04</t>
  </si>
  <si>
    <t xml:space="preserve"> ЛСР 02-02-05</t>
  </si>
  <si>
    <t xml:space="preserve"> ЛСР 02-02-06</t>
  </si>
  <si>
    <t xml:space="preserve"> ЛСР 02-02-07</t>
  </si>
  <si>
    <t xml:space="preserve"> ЛСР 02-02-08</t>
  </si>
  <si>
    <t xml:space="preserve"> ЛСР 02-02-09</t>
  </si>
  <si>
    <t xml:space="preserve"> ЛСР 02-02-10</t>
  </si>
  <si>
    <t xml:space="preserve"> ЛСР 02-02-11</t>
  </si>
  <si>
    <t xml:space="preserve"> ЛСР 02-02-12</t>
  </si>
  <si>
    <t xml:space="preserve"> ЛСР 02-02-13</t>
  </si>
  <si>
    <t xml:space="preserve"> ЛСР 02-02-14</t>
  </si>
  <si>
    <t>ОС 02-03</t>
  </si>
  <si>
    <t>ЛСР 02-03-01;ЛСР 02-03-11;ЛСР 02-03-03; 02-03-07</t>
  </si>
  <si>
    <t>ЛСР 02-03-02; ЛСР 02-03-11;ЛСР 02-03-04; ЛСР 02-03-05;ЛСР 02-03-06; ЛСР 02-03-07</t>
  </si>
  <si>
    <t>ЛСР 02-03-07; ЛСР 02-03-11; ЛСР 02-03-08; ЛСР 02-03-09; ЛСР 02-03-10</t>
  </si>
  <si>
    <t>2. Заключение Федерального автономного учреждения "Главное управление государственной экспертизы" (ФАУ "ГЛАВГОСЭКСПЕРТИЗА РОССИИ") от 27. 03.2020 г. № 00331-20/ГГЭ-21706/07-01</t>
  </si>
  <si>
    <t>1. Приказ об утверждении проектной документации, включая сводный сметный расчет стоимости строительства от 27.03.2020 № Пр-20-056</t>
  </si>
  <si>
    <t>Для расчета цены проектных работ стадии "Рабочая документация" использован сводный сметный расчет, получивший положительное заключение  федерального автономного учреждения «Главное управление государственной экспертизы» (ФАУ "ГЛАВГОСЭКСПЕРТИЗА РОССИИ")  от 27. 03.2020 г. № 00331-20/ГГЭ-21706/07-01</t>
  </si>
  <si>
    <t>Для расчета цены строительства  использован сводный сметный расчет, получивший положительное заключение федерального автономного учреждения «Главное управление государственной экспертизы» (ФАУ "ГЛАВГОСЭКСПЕРТИЗА РОССИИ")  от 27. 03.2020 г. № 00331-20/ГГЭ-21706/07-01</t>
  </si>
  <si>
    <t>- проведение спасательных археологических исследований;</t>
  </si>
  <si>
    <t>Непредвиденные работы и затраты</t>
  </si>
  <si>
    <t>2.19</t>
  </si>
  <si>
    <t>2.20</t>
  </si>
  <si>
    <t>2.21</t>
  </si>
  <si>
    <t>3.3</t>
  </si>
  <si>
    <t>-перебазировка строительной техники;</t>
  </si>
  <si>
    <t>-затраты, связанные с вахтовым методом ведения работ;</t>
  </si>
  <si>
    <t>-непредвиденные работы и затраты;</t>
  </si>
  <si>
    <t>В том числе непредвиденные работы и затраты</t>
  </si>
  <si>
    <t>В том числе инфляционная составляющая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</si>
  <si>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</si>
  <si>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 xml:space="preserve"> Республика Северная Осетия-Алания</t>
  </si>
  <si>
    <t>индекс за декабрь 2020 г. к декабрю предыдущего года</t>
  </si>
  <si>
    <t>индекс за июль 2021 г. к декабрю предыдущего года</t>
  </si>
  <si>
    <t>индекс за август и сентябрь 2021 г. не опубликован (принимается равным 1)</t>
  </si>
  <si>
    <t>Проживание</t>
  </si>
  <si>
    <t>Проезд рабочих и аренда вахтового автобуса для  обслуживания строительной площадки в период строительства в условиях высокогорья</t>
  </si>
  <si>
    <t>Примечание: Затраты на проживание не индексируются, поскольку их размер ограничен суммой 550 руб. в сутки согласно Постановлению Правительства РФ № 729 от 02.10.2002</t>
  </si>
  <si>
    <t>Дата формирования НМЦК</t>
  </si>
  <si>
    <t>Продолжительность выполнения работ, мес.</t>
  </si>
  <si>
    <t>Начало работ</t>
  </si>
  <si>
    <t>Окончание работ</t>
  </si>
  <si>
    <t>Доля сметной стоимости, подлежащая выполнению подрядчиком в 2022 году</t>
  </si>
  <si>
    <t>Индекс Минэкономразвития РФ на 2021 г. (Письмо Минэкономразвития России от 30.09.2020 г. № 32028-ПК/Д03и)</t>
  </si>
  <si>
    <t>ежемесячный прогнозный индекс на 2021 год</t>
  </si>
  <si>
    <t>^(1/12)</t>
  </si>
  <si>
    <t>Индекс Минэкономразвития РФ на 2022 г. (Письмо Минэкономразвития России от 30.09.2020 г. № 32028-ПК/Д03и)</t>
  </si>
  <si>
    <t>ежемесячный прогнозный индекс на 2022 год</t>
  </si>
  <si>
    <t>К на 2022 =</t>
  </si>
  <si>
    <t>Индекс прогнозной инфляции</t>
  </si>
  <si>
    <t xml:space="preserve">Индекс фактической инфляции по данным Росстата от цен  сметной документации  (IV квартал 2019 г.) до даты формирования НМЦК = </t>
  </si>
  <si>
    <t>Цена работ учитывает все затраты Подрядчика, включая стоимость приобретения материалов и оборудования поставки Подрядчика, стоимость строительно-монтажных и пусконаладочных работ, прочих затрат (проведение спасательных археологических исследований; пусконаладочных работ вхолостую, платы за негативное воздействие на окружающую среду; перебазировка строительной техники; затраты, связанные с вахтовым методом ведения работ; затрат по аренде вертолетов; производственный экологический мониторинг;выполнение мониторинга и разработка плана мероприятий по защите объектов), накладных расходов, сметной прибыли, затраты на строительство временных зданий и сооружений, возврат от разборки временных зданий и сооружений, затраты на удорожание работ в зимнее время, непредвиденные работы и затраты, индекс фактической инфляции от цен  утверждения сметной документации  (IV квартал 2019 г.) до даты формирования НМЦК; прогнозные индексы инфляции для пересчета из уровня цен на дату определения НМЦК в уровень цен соответствующего периода исполнения договора, налог на добавленную стоимость в размере 20%.</t>
  </si>
  <si>
    <t>Для расчета  затрат на проведение производственного экологического мониторинга и выполнение мониторинга и разработки плана мероприятий по защите объектов ВТРК «Мамисон» от природных процессов и явлений использован сводный сметный расчет, получивший положительное заключение  федерального автономного учреждения «Главное управление государственной экспертизы» (ФАУ "ГЛАВГОСЭКСПЕРТИЗА РОССИИ") от 27. 03.2020 г. № 00331-20/ГГЭ-21706/07-01</t>
  </si>
  <si>
    <t>Описание метода расчета стоимости затрат на проведение производственного экологического мониторинга и выполнение мониторинга и разработки плана мероприятий по защите объектов ВТРК «Мамисон» от природных процессов и явлений</t>
  </si>
  <si>
    <t>Индекс пересчета в текущие цены  на  4 квартал 2019 г. принят на выполнение мониторинга и разработки плана мероприятий по защите объектов ВТРК «Мамисон» от природных процессов и явлений согласно письму Минстроя РФ от 09.12.2019 N 46999-ДВ/09 и на проведение производственного экологического мониторинга по письму Минстроя РФ  №50583-ДВ/09 от 25.12.2019 по объектам непроизводственного назначения.</t>
  </si>
  <si>
    <t>Индекс фактической инфляции определен по данным Росстата от цен  утверждения сметной документации  (IV квартал 2019 г.) до даты формирования НМЦК;</t>
  </si>
  <si>
    <t>-затраты, связанные с использованием передвижных ДЭС;</t>
  </si>
  <si>
    <t>-компенсация затрат по аренде вертолетов;</t>
  </si>
  <si>
    <t>-перевозка минерального грунта;</t>
  </si>
  <si>
    <t>-производственный экологический контроль и мониторинг;</t>
  </si>
  <si>
    <t>-выполнение мониторинга и разработка плана мероприятий по защите объектов;</t>
  </si>
  <si>
    <t>-индекс фактической инфляции от цен  утверждения сметной документации  (IV квартал 2019 г.) до даты формирования НМЦК;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</si>
  <si>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</si>
  <si>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- авансирование в размере 30%;</t>
  </si>
  <si>
    <t>Расчет индекса прогнозной инфляции выполнен по данным Минэкономразвития РФ согласно письма Минэкономразвития России от 30.09.2020 № 32028-ПК/Д03и.</t>
  </si>
  <si>
    <t>Расчет индекса прогнозной инфляции для проектных работ стадии "Рабочая документация"</t>
  </si>
  <si>
    <t>Расчет индекса прогнозной инфляции для строительства</t>
  </si>
  <si>
    <t>Доля сметной стоимости, подлежащая выполнению подрядчиком в 2023 году</t>
  </si>
  <si>
    <t>Индекс Минэкономразвития РФ на 2023 г. (Письмо Минэкономразвития России от 30.09.2020 г. № 32028-ПК/Д03и)</t>
  </si>
  <si>
    <t>ежемесячный прогнозный индекс на 2023 год</t>
  </si>
  <si>
    <t>К на 2023 =</t>
  </si>
  <si>
    <t>Общий индекс</t>
  </si>
  <si>
    <t>2.15.1</t>
  </si>
  <si>
    <t>2.15.2</t>
  </si>
  <si>
    <t>2.5.1</t>
  </si>
  <si>
    <t>2.3.2.1</t>
  </si>
  <si>
    <t>2.3.2.2</t>
  </si>
  <si>
    <t>2.5.2</t>
  </si>
  <si>
    <t>2.5.3</t>
  </si>
  <si>
    <t>2.5.4</t>
  </si>
  <si>
    <t>2.5.5</t>
  </si>
  <si>
    <t>2.5.6</t>
  </si>
  <si>
    <t>2.5.7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</si>
  <si>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</si>
  <si>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</si>
  <si>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</si>
  <si>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</si>
  <si>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</si>
  <si>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</si>
  <si>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</si>
  <si>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</si>
  <si>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</si>
  <si>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</si>
  <si>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</si>
  <si>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</si>
  <si>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</si>
  <si>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</si>
  <si>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</si>
  <si>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</si>
  <si>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</si>
  <si>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2.8.1.1</t>
  </si>
  <si>
    <t>2.8.1.2</t>
  </si>
  <si>
    <t>2.8.1.3</t>
  </si>
  <si>
    <t>2.9.1.1</t>
  </si>
  <si>
    <t>2.9.1.2</t>
  </si>
  <si>
    <t>2.9.1.3</t>
  </si>
  <si>
    <t>2.9.1.4</t>
  </si>
  <si>
    <t>2.9.1.5</t>
  </si>
  <si>
    <t>2.9.1.6</t>
  </si>
  <si>
    <t>2.9.1.7</t>
  </si>
  <si>
    <t>2.9.1.8</t>
  </si>
  <si>
    <t>2.10.1.1</t>
  </si>
  <si>
    <t>2.10.1.2</t>
  </si>
  <si>
    <t>2.10.1.3</t>
  </si>
  <si>
    <t>2.10.1.4</t>
  </si>
  <si>
    <t>2.10.1.5</t>
  </si>
  <si>
    <t>2.10.2.1</t>
  </si>
  <si>
    <t>2.10.2.2</t>
  </si>
  <si>
    <t>2.10.2.3</t>
  </si>
  <si>
    <t>2.10.2.4</t>
  </si>
  <si>
    <t>2.10.2.5</t>
  </si>
  <si>
    <t>2.10.2.6</t>
  </si>
  <si>
    <t>2.10.3.1</t>
  </si>
  <si>
    <t>2.10.3.2</t>
  </si>
  <si>
    <t>2.10.3.3</t>
  </si>
  <si>
    <t>2.10.3.4</t>
  </si>
  <si>
    <t>2.10.3.5</t>
  </si>
  <si>
    <t>2.11.1.1</t>
  </si>
  <si>
    <t>2.11.1.2</t>
  </si>
  <si>
    <t>2.11.1.3</t>
  </si>
  <si>
    <t>2.11.2.1</t>
  </si>
  <si>
    <t>2.11.2.2</t>
  </si>
  <si>
    <t>2.11.2.3</t>
  </si>
  <si>
    <t>2.12.1.1</t>
  </si>
  <si>
    <t>2.12.1.2</t>
  </si>
  <si>
    <t>2.12.1.3</t>
  </si>
  <si>
    <t>2.12.2.1</t>
  </si>
  <si>
    <t>2.12.2.2</t>
  </si>
  <si>
    <t>2.12.2.3</t>
  </si>
  <si>
    <t>2.2.2.1</t>
  </si>
  <si>
    <t>2.2.2.2</t>
  </si>
  <si>
    <t>2.2.13.1</t>
  </si>
  <si>
    <t>2.2.13.2</t>
  </si>
  <si>
    <t>2.2.13.3</t>
  </si>
  <si>
    <t>2.3.10.1</t>
  </si>
  <si>
    <t>2.3.10.2</t>
  </si>
  <si>
    <t>2.3.10.3</t>
  </si>
  <si>
    <t>2.3.11.1</t>
  </si>
  <si>
    <t>2.3.11.2</t>
  </si>
  <si>
    <t>2.3.11.3</t>
  </si>
  <si>
    <t>2.3.13.1</t>
  </si>
  <si>
    <t>2.3.13.2</t>
  </si>
  <si>
    <t>2.3.13.3</t>
  </si>
  <si>
    <t>Индексы пересчета:</t>
  </si>
  <si>
    <t>Индекс РД к цене 2001 г.</t>
  </si>
  <si>
    <t>Индекс РД к цене 1995 г.</t>
  </si>
  <si>
    <t>СМР</t>
  </si>
  <si>
    <t>Археологические исследования</t>
  </si>
  <si>
    <t>ИНДЕКСЫ ПЕРЕСЧЕТА</t>
  </si>
  <si>
    <t>Выполнение мониторинга и разработка плана мероприятий по защите объектов</t>
  </si>
  <si>
    <t>Производственный экологический мониторинг</t>
  </si>
  <si>
    <t>Индекс на СМР к цене 2000 г.</t>
  </si>
  <si>
    <t>Индекс на оборудование к цене 2000 г.</t>
  </si>
  <si>
    <t>Индекс на прочие к цене 2000 г.</t>
  </si>
  <si>
    <t>Индекс на производств. экологический мониторинг к цене 2000 г.</t>
  </si>
  <si>
    <t xml:space="preserve">Главы 1, 2, 5, 7, 8, 9 </t>
  </si>
  <si>
    <t>Глава 4  (наружные системы электроснабжения)</t>
  </si>
  <si>
    <t>Глава 6 (Водоотведение)</t>
  </si>
  <si>
    <t>Глава 6 (Водоснабжение)</t>
  </si>
  <si>
    <t>Глава 6 (Газоснабжение)</t>
  </si>
  <si>
    <t>Индекс на археологические исследования к цене 2001 г.</t>
  </si>
  <si>
    <t>Индекс на пусконаладку к цене 2000 г.</t>
  </si>
  <si>
    <t>Индекс на выполнение мониторинга и разработки плана мероприятий по защите объектов к цене 2001 г.</t>
  </si>
  <si>
    <t>Индекс -дефлятор</t>
  </si>
  <si>
    <t>по объекту «Разработка ПСД объектов всесезонного туристско-рекреационного комплекса «Мамисон» (поселок Калак, этап 1)»</t>
  </si>
  <si>
    <t>Сроки выполнения работ</t>
  </si>
  <si>
    <t>Дата начала</t>
  </si>
  <si>
    <t>Дата окончания</t>
  </si>
  <si>
    <t>Х</t>
  </si>
  <si>
    <t>окончание первого года</t>
  </si>
  <si>
    <t>начало второго года</t>
  </si>
  <si>
    <t>Доля сметной стоимости, подлежащая выполнению подрядчиком в 2021 году</t>
  </si>
  <si>
    <t>К на 2021 =</t>
  </si>
  <si>
    <t xml:space="preserve">График выполнения строительно-монтажных работ по объекту: </t>
  </si>
  <si>
    <t>Разработка ПСД объектов всесезонного туристско-рекреационного комплекса «Мамисон» 
(поселок Калак, этап 1)</t>
  </si>
  <si>
    <t>№ п.п.</t>
  </si>
  <si>
    <t>Перечень видов работ</t>
  </si>
  <si>
    <t>Разработка рабочей документации</t>
  </si>
  <si>
    <t>Строительно-монтажные работы, включая подготовительные работы, подготовку исполнительной документации, пуско-наладочные работы, сдачу объекта Заказчику с комплектом документов, позволяющим получить разрешение на ввод объекта в эксплуатацию.</t>
  </si>
  <si>
    <t>X-дата заключения Договора</t>
  </si>
  <si>
    <t>Анкерное закрепление склонов для обеспечения противооползневой устойчивости</t>
  </si>
  <si>
    <t>Водопропускные трубы большого диаметра (уточнить проектом) в местах пересечения горнолыжных трасс с водотоками: 2 водопропускных трубы диаметром до 2500 мм длиной до 40 м</t>
  </si>
  <si>
    <t>Водопропускные трубы (Диаметром 1600 мм длиной до 40 м каждая 6шт.)</t>
  </si>
  <si>
    <t>новые объекты:</t>
  </si>
  <si>
    <t>Затраты подрядчика по ССР</t>
  </si>
  <si>
    <t>Изменение стоимости с учетом исключения ненужных объектов</t>
  </si>
  <si>
    <t>отклонение</t>
  </si>
  <si>
    <t>индекс за август 2021 г. к декабрю предыдущего года</t>
  </si>
  <si>
    <t>индекс за сентябрь-октябрь 2021 г. не опубликован (принимается равным 1)</t>
  </si>
  <si>
    <t>Индекс Минэкономразвития РФ на 2021 г. (Письмо Минэкономразвития России от 05.10.2021 № 33918-ПК/Д03и)</t>
  </si>
  <si>
    <t>Индекс Минэкономразвития РФ на 2022 г. (Письмо Минэкономразвития России от 05.10.2021 № 33918-ПК/Д03и)</t>
  </si>
  <si>
    <t>Индекс Минэкономразвития РФ на 2023 г. (Письмо Минэкономразвития России от 05.10.2021 № 33918-ПК/Д03и)</t>
  </si>
  <si>
    <t>(один миллиард восемьсот девяносто восемь миллионов семьсот пятьдесят восемь тысяч четыреста шестьдесят три рубля, 76 копеек)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</si>
  <si>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05.10.2021 № 33918-ПК/Д03и.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</si>
  <si>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05.10.2021 № 33918-ПК/Д03и.</t>
  </si>
  <si>
    <t>Строительство (строительно-монтажные работы, Пусконаладочные работы, оборудование поставки подрядчика, прочие затраты)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</si>
</sst>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₽_-;\-* #,##0.00\ _₽_-;_-* &quot;-&quot;??\ _₽_-;_-@_-"/>
    <numFmt numFmtId="165" formatCode="_-* #,##0.000\ _₽_-;\-* #,##0.000\ _₽_-;_-* &quot;-&quot;??\ _₽_-;_-@_-"/>
    <numFmt numFmtId="166" formatCode="#,##0.000"/>
    <numFmt numFmtId="167" formatCode="0.000"/>
    <numFmt numFmtId="168" formatCode="_-* #,##0\ _₽_-;\-* #,##0\ _₽_-;_-* &quot;-&quot;??\ _₽_-;_-@_-"/>
    <numFmt numFmtId="169" formatCode="0.0000"/>
    <numFmt numFmtId="170" formatCode="0.0000000"/>
    <numFmt numFmtId="171" formatCode="0.0"/>
    <numFmt numFmtId="172" formatCode="0.0%"/>
    <numFmt numFmtId="173" formatCode="_-* #,##0.0000000\ _₽_-;\-* #,##0.0000000\ _₽_-;_-* &quot;-&quot;??\ _₽_-;_-@_-"/>
    <numFmt numFmtId="174" formatCode="_-* #,##0.00_р_._-;\-* #,##0.00_р_._-;_-* &quot;-&quot;??_р_._-;_-@_-"/>
    <numFmt numFmtId="175" formatCode="_-* #,##0.000000000\ _₽_-;\-* #,##0.000000000\ _₽_-;_-* &quot;-&quot;??\ _₽_-;_-@_-"/>
  </numFmts>
  <fonts count="5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theme="8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color theme="8" tint="-0.249977111117893"/>
      <name val="Times New Roman"/>
      <family val="1"/>
      <charset val="204"/>
    </font>
    <font>
      <sz val="12"/>
      <color theme="8" tint="-0.24997711111789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rgb="FF9C65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0070C0"/>
      <name val="Arial Cyr"/>
      <charset val="204"/>
    </font>
    <font>
      <i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sz val="11"/>
      <color rgb="FF0070C0"/>
      <name val="Calibri"/>
      <family val="2"/>
      <charset val="204"/>
    </font>
    <font>
      <sz val="8"/>
      <color rgb="FF0070C0"/>
      <name val="Arial"/>
      <family val="2"/>
      <charset val="204"/>
    </font>
    <font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2"/>
      <color theme="5" tint="-0.249977111117893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b/>
      <i/>
      <sz val="12"/>
      <color theme="5" tint="-0.249977111117893"/>
      <name val="Times New Roman"/>
      <family val="1"/>
      <charset val="204"/>
    </font>
    <font>
      <sz val="12"/>
      <color theme="5" tint="-0.24997711111789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Arial Cyr"/>
      <charset val="204"/>
    </font>
    <font>
      <i/>
      <sz val="10"/>
      <name val="Arial Cyr"/>
      <charset val="204"/>
    </font>
    <font>
      <i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7" fillId="0" borderId="0"/>
    <xf numFmtId="164" fontId="28" fillId="0" borderId="0" applyFont="0" applyFill="0" applyBorder="0" applyAlignment="0" applyProtection="0"/>
    <xf numFmtId="0" fontId="29" fillId="8" borderId="0" applyNumberFormat="0" applyBorder="0" applyAlignment="0" applyProtection="0"/>
    <xf numFmtId="0" fontId="17" fillId="0" borderId="0"/>
    <xf numFmtId="0" fontId="30" fillId="0" borderId="0"/>
    <xf numFmtId="0" fontId="31" fillId="0" borderId="0">
      <alignment horizontal="center" vertical="top"/>
    </xf>
    <xf numFmtId="0" fontId="32" fillId="0" borderId="0">
      <alignment horizontal="left" vertical="top"/>
    </xf>
    <xf numFmtId="0" fontId="32" fillId="0" borderId="0">
      <alignment horizontal="center" vertical="center"/>
    </xf>
    <xf numFmtId="0" fontId="32" fillId="0" borderId="0">
      <alignment horizontal="center"/>
    </xf>
    <xf numFmtId="0" fontId="33" fillId="0" borderId="0">
      <alignment horizontal="center" vertical="center"/>
    </xf>
    <xf numFmtId="0" fontId="33" fillId="0" borderId="0">
      <alignment horizontal="center" vertical="center"/>
    </xf>
    <xf numFmtId="0" fontId="32" fillId="0" borderId="0">
      <alignment horizontal="center" vertical="center"/>
    </xf>
    <xf numFmtId="0" fontId="32" fillId="0" borderId="0">
      <alignment horizontal="center" vertical="center"/>
    </xf>
    <xf numFmtId="0" fontId="32" fillId="0" borderId="0">
      <alignment horizontal="center" vertical="center"/>
    </xf>
    <xf numFmtId="0" fontId="32" fillId="0" borderId="0">
      <alignment horizontal="center" vertical="center"/>
    </xf>
    <xf numFmtId="0" fontId="32" fillId="0" borderId="0">
      <alignment horizontal="left" vertical="center"/>
    </xf>
    <xf numFmtId="0" fontId="28" fillId="0" borderId="0"/>
    <xf numFmtId="0" fontId="3" fillId="0" borderId="0"/>
    <xf numFmtId="0" fontId="2" fillId="0" borderId="0"/>
    <xf numFmtId="0" fontId="28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27" fillId="0" borderId="0"/>
    <xf numFmtId="0" fontId="57" fillId="13" borderId="0" applyNumberFormat="0" applyBorder="0" applyAlignment="0" applyProtection="0"/>
    <xf numFmtId="174" fontId="17" fillId="0" borderId="0" applyFont="0" applyFill="0" applyBorder="0" applyAlignment="0" applyProtection="0"/>
  </cellStyleXfs>
  <cellXfs count="731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right" vertical="top" wrapText="1"/>
    </xf>
    <xf numFmtId="0" fontId="0" fillId="2" borderId="7" xfId="0" applyFill="1" applyBorder="1" applyAlignment="1">
      <alignment vertical="top" wrapText="1"/>
    </xf>
    <xf numFmtId="49" fontId="4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/>
    </xf>
    <xf numFmtId="0" fontId="0" fillId="0" borderId="7" xfId="0" applyBorder="1" applyAlignment="1">
      <alignment vertical="top" wrapText="1"/>
    </xf>
    <xf numFmtId="4" fontId="4" fillId="0" borderId="7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9" fontId="4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right" vertical="top" wrapText="1"/>
    </xf>
    <xf numFmtId="0" fontId="4" fillId="0" borderId="0" xfId="0" applyFont="1"/>
    <xf numFmtId="49" fontId="3" fillId="0" borderId="6" xfId="0" applyNumberFormat="1" applyFont="1" applyBorder="1" applyAlignment="1">
      <alignment horizontal="center" vertical="top" wrapText="1"/>
    </xf>
    <xf numFmtId="0" fontId="3" fillId="3" borderId="7" xfId="0" applyFont="1" applyFill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4" fontId="3" fillId="0" borderId="0" xfId="0" applyNumberFormat="1" applyFont="1"/>
    <xf numFmtId="0" fontId="4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3" fillId="5" borderId="0" xfId="0" applyNumberFormat="1" applyFont="1" applyFill="1"/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4" fontId="4" fillId="0" borderId="0" xfId="0" applyNumberFormat="1" applyFont="1"/>
    <xf numFmtId="0" fontId="4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top" wrapText="1"/>
    </xf>
    <xf numFmtId="4" fontId="3" fillId="5" borderId="0" xfId="0" applyNumberFormat="1" applyFont="1" applyFill="1" applyBorder="1" applyAlignment="1">
      <alignment horizontal="right" vertical="top" wrapText="1"/>
    </xf>
    <xf numFmtId="4" fontId="4" fillId="5" borderId="8" xfId="0" applyNumberFormat="1" applyFont="1" applyFill="1" applyBorder="1" applyAlignment="1">
      <alignment horizontal="right" vertical="top" wrapText="1"/>
    </xf>
    <xf numFmtId="4" fontId="4" fillId="5" borderId="0" xfId="0" applyNumberFormat="1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right" vertical="top" wrapText="1"/>
    </xf>
    <xf numFmtId="4" fontId="3" fillId="5" borderId="0" xfId="0" applyNumberFormat="1" applyFont="1" applyFill="1" applyBorder="1" applyAlignment="1">
      <alignment horizontal="center" vertical="top" wrapText="1"/>
    </xf>
    <xf numFmtId="4" fontId="4" fillId="5" borderId="0" xfId="0" applyNumberFormat="1" applyFont="1" applyFill="1" applyBorder="1" applyAlignment="1">
      <alignment horizontal="center" vertical="top" wrapText="1"/>
    </xf>
    <xf numFmtId="4" fontId="3" fillId="5" borderId="0" xfId="0" applyNumberFormat="1" applyFont="1" applyFill="1" applyBorder="1" applyAlignment="1">
      <alignment horizontal="right" vertical="top"/>
    </xf>
    <xf numFmtId="0" fontId="3" fillId="5" borderId="0" xfId="0" applyFont="1" applyFill="1" applyBorder="1" applyAlignment="1">
      <alignment horizontal="right" vertical="top"/>
    </xf>
    <xf numFmtId="0" fontId="4" fillId="5" borderId="0" xfId="0" applyFont="1" applyFill="1" applyBorder="1" applyAlignment="1">
      <alignment horizontal="right" vertical="top"/>
    </xf>
    <xf numFmtId="4" fontId="4" fillId="5" borderId="0" xfId="0" applyNumberFormat="1" applyFont="1" applyFill="1" applyBorder="1" applyAlignment="1">
      <alignment horizontal="right" vertical="top"/>
    </xf>
    <xf numFmtId="0" fontId="9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vertical="top" wrapText="1"/>
    </xf>
    <xf numFmtId="0" fontId="10" fillId="5" borderId="0" xfId="0" applyFont="1" applyFill="1" applyAlignment="1">
      <alignment horizontal="right" vertical="top" wrapText="1"/>
    </xf>
    <xf numFmtId="0" fontId="3" fillId="5" borderId="0" xfId="0" applyFont="1" applyFill="1" applyAlignment="1">
      <alignment horizontal="right" vertical="top"/>
    </xf>
    <xf numFmtId="0" fontId="19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0" xfId="0" applyFont="1"/>
    <xf numFmtId="0" fontId="11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22" fillId="0" borderId="0" xfId="0" applyFont="1"/>
    <xf numFmtId="0" fontId="23" fillId="6" borderId="7" xfId="0" applyFont="1" applyFill="1" applyBorder="1" applyAlignment="1">
      <alignment horizontal="center" vertical="center" wrapText="1"/>
    </xf>
    <xf numFmtId="0" fontId="18" fillId="6" borderId="7" xfId="1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left" vertical="center" wrapText="1"/>
    </xf>
    <xf numFmtId="164" fontId="18" fillId="7" borderId="7" xfId="0" applyNumberFormat="1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49" fontId="24" fillId="0" borderId="7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11" fillId="0" borderId="7" xfId="0" applyNumberFormat="1" applyFont="1" applyFill="1" applyBorder="1" applyAlignment="1">
      <alignment horizontal="center" vertical="center"/>
    </xf>
    <xf numFmtId="49" fontId="23" fillId="7" borderId="7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left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1" applyFont="1" applyAlignment="1">
      <alignment horizontal="center" vertical="center"/>
    </xf>
    <xf numFmtId="0" fontId="20" fillId="7" borderId="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4" fillId="0" borderId="7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49" fontId="11" fillId="0" borderId="0" xfId="0" applyNumberFormat="1" applyFont="1" applyAlignment="1">
      <alignment horizontal="left" vertical="center"/>
    </xf>
    <xf numFmtId="4" fontId="18" fillId="0" borderId="7" xfId="0" applyNumberFormat="1" applyFont="1" applyBorder="1" applyAlignment="1">
      <alignment horizontal="center" vertical="center"/>
    </xf>
    <xf numFmtId="4" fontId="24" fillId="0" borderId="7" xfId="0" applyNumberFormat="1" applyFont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0" fontId="18" fillId="3" borderId="7" xfId="1" applyFont="1" applyFill="1" applyBorder="1"/>
    <xf numFmtId="4" fontId="23" fillId="3" borderId="7" xfId="1" applyNumberFormat="1" applyFont="1" applyFill="1" applyBorder="1" applyAlignment="1">
      <alignment horizontal="center" vertical="center"/>
    </xf>
    <xf numFmtId="166" fontId="19" fillId="3" borderId="7" xfId="1" applyNumberFormat="1" applyFont="1" applyFill="1" applyBorder="1" applyAlignment="1">
      <alignment horizontal="center" vertical="center"/>
    </xf>
    <xf numFmtId="164" fontId="19" fillId="3" borderId="7" xfId="0" applyNumberFormat="1" applyFont="1" applyFill="1" applyBorder="1"/>
    <xf numFmtId="0" fontId="18" fillId="3" borderId="7" xfId="0" applyFont="1" applyFill="1" applyBorder="1"/>
    <xf numFmtId="0" fontId="19" fillId="3" borderId="7" xfId="0" applyFont="1" applyFill="1" applyBorder="1"/>
    <xf numFmtId="49" fontId="3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" fontId="29" fillId="8" borderId="7" xfId="3" applyNumberFormat="1" applyBorder="1" applyAlignment="1">
      <alignment vertical="center"/>
    </xf>
    <xf numFmtId="0" fontId="3" fillId="0" borderId="7" xfId="0" applyFont="1" applyBorder="1"/>
    <xf numFmtId="164" fontId="4" fillId="0" borderId="7" xfId="2" applyFont="1" applyBorder="1"/>
    <xf numFmtId="164" fontId="29" fillId="8" borderId="7" xfId="3" applyNumberFormat="1" applyBorder="1"/>
    <xf numFmtId="2" fontId="3" fillId="0" borderId="7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top"/>
    </xf>
    <xf numFmtId="4" fontId="3" fillId="4" borderId="7" xfId="0" applyNumberFormat="1" applyFont="1" applyFill="1" applyBorder="1" applyAlignment="1">
      <alignment horizontal="right" vertical="top"/>
    </xf>
    <xf numFmtId="4" fontId="3" fillId="4" borderId="7" xfId="0" applyNumberFormat="1" applyFont="1" applyFill="1" applyBorder="1" applyAlignment="1">
      <alignment vertical="center"/>
    </xf>
    <xf numFmtId="4" fontId="29" fillId="8" borderId="7" xfId="3" applyNumberFormat="1" applyBorder="1" applyAlignment="1">
      <alignment horizontal="right" vertical="top" wrapText="1"/>
    </xf>
    <xf numFmtId="164" fontId="11" fillId="0" borderId="7" xfId="2" applyFont="1" applyFill="1" applyBorder="1" applyAlignment="1">
      <alignment horizontal="center" vertical="center"/>
    </xf>
    <xf numFmtId="164" fontId="25" fillId="0" borderId="7" xfId="2" applyFont="1" applyBorder="1" applyAlignment="1">
      <alignment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7" xfId="2" applyFont="1" applyFill="1" applyBorder="1" applyAlignment="1">
      <alignment horizontal="right" vertical="center"/>
    </xf>
    <xf numFmtId="0" fontId="0" fillId="0" borderId="7" xfId="0" applyBorder="1"/>
    <xf numFmtId="0" fontId="0" fillId="0" borderId="0" xfId="0" applyFill="1"/>
    <xf numFmtId="49" fontId="4" fillId="7" borderId="7" xfId="0" applyNumberFormat="1" applyFont="1" applyFill="1" applyBorder="1" applyAlignment="1">
      <alignment horizontal="left" vertical="top" wrapText="1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7" xfId="2" applyFont="1" applyFill="1" applyBorder="1" applyAlignment="1">
      <alignment horizontal="right" vertical="center"/>
    </xf>
    <xf numFmtId="49" fontId="18" fillId="10" borderId="7" xfId="0" applyNumberFormat="1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vertical="center" wrapText="1"/>
    </xf>
    <xf numFmtId="4" fontId="18" fillId="10" borderId="7" xfId="0" applyNumberFormat="1" applyFont="1" applyFill="1" applyBorder="1" applyAlignment="1">
      <alignment horizontal="center" vertical="center"/>
    </xf>
    <xf numFmtId="167" fontId="4" fillId="0" borderId="0" xfId="0" applyNumberFormat="1" applyFont="1"/>
    <xf numFmtId="0" fontId="18" fillId="6" borderId="7" xfId="4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left" vertical="center" wrapText="1"/>
    </xf>
    <xf numFmtId="0" fontId="21" fillId="10" borderId="7" xfId="0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34" fillId="6" borderId="7" xfId="4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 wrapText="1"/>
    </xf>
    <xf numFmtId="164" fontId="11" fillId="7" borderId="7" xfId="0" applyNumberFormat="1" applyFont="1" applyFill="1" applyBorder="1" applyAlignment="1">
      <alignment horizontal="center" vertical="center"/>
    </xf>
    <xf numFmtId="4" fontId="11" fillId="7" borderId="7" xfId="0" applyNumberFormat="1" applyFont="1" applyFill="1" applyBorder="1" applyAlignment="1">
      <alignment horizontal="center" vertical="center"/>
    </xf>
    <xf numFmtId="164" fontId="18" fillId="0" borderId="7" xfId="2" applyFont="1" applyBorder="1" applyAlignment="1">
      <alignment vertical="center"/>
    </xf>
    <xf numFmtId="0" fontId="27" fillId="0" borderId="0" xfId="22"/>
    <xf numFmtId="0" fontId="27" fillId="0" borderId="0" xfId="22" applyFont="1"/>
    <xf numFmtId="0" fontId="35" fillId="0" borderId="0" xfId="22" applyFont="1"/>
    <xf numFmtId="0" fontId="18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11" fillId="0" borderId="0" xfId="4" applyFont="1" applyFill="1"/>
    <xf numFmtId="0" fontId="20" fillId="0" borderId="0" xfId="4" applyFont="1" applyFill="1"/>
    <xf numFmtId="0" fontId="11" fillId="0" borderId="0" xfId="4" applyFont="1"/>
    <xf numFmtId="0" fontId="21" fillId="0" borderId="0" xfId="4" applyFont="1"/>
    <xf numFmtId="0" fontId="20" fillId="0" borderId="0" xfId="4" applyFont="1"/>
    <xf numFmtId="0" fontId="11" fillId="9" borderId="0" xfId="4" applyFont="1" applyFill="1" applyAlignment="1">
      <alignment vertical="center"/>
    </xf>
    <xf numFmtId="0" fontId="20" fillId="9" borderId="0" xfId="4" applyFont="1" applyFill="1" applyAlignment="1">
      <alignment vertical="center"/>
    </xf>
    <xf numFmtId="0" fontId="20" fillId="0" borderId="0" xfId="4" applyFont="1" applyFill="1" applyAlignment="1">
      <alignment vertical="center"/>
    </xf>
    <xf numFmtId="0" fontId="21" fillId="6" borderId="7" xfId="0" applyFont="1" applyFill="1" applyBorder="1" applyAlignment="1">
      <alignment horizontal="center" vertical="center" wrapText="1"/>
    </xf>
    <xf numFmtId="0" fontId="11" fillId="6" borderId="7" xfId="4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168" fontId="11" fillId="7" borderId="7" xfId="0" applyNumberFormat="1" applyFont="1" applyFill="1" applyBorder="1" applyAlignment="1">
      <alignment horizontal="center" vertical="center"/>
    </xf>
    <xf numFmtId="0" fontId="7" fillId="7" borderId="0" xfId="0" applyFont="1" applyFill="1"/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left" vertical="top" wrapText="1"/>
    </xf>
    <xf numFmtId="49" fontId="11" fillId="7" borderId="7" xfId="0" applyNumberFormat="1" applyFont="1" applyFill="1" applyBorder="1" applyAlignment="1">
      <alignment horizontal="left" vertical="center" wrapText="1"/>
    </xf>
    <xf numFmtId="0" fontId="37" fillId="7" borderId="0" xfId="0" applyFont="1" applyFill="1"/>
    <xf numFmtId="0" fontId="21" fillId="0" borderId="0" xfId="0" applyFont="1" applyBorder="1" applyAlignment="1">
      <alignment vertical="center" wrapText="1"/>
    </xf>
    <xf numFmtId="0" fontId="23" fillId="0" borderId="0" xfId="0" applyFont="1" applyBorder="1"/>
    <xf numFmtId="4" fontId="23" fillId="0" borderId="0" xfId="0" applyNumberFormat="1" applyFont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/>
    <xf numFmtId="2" fontId="7" fillId="0" borderId="7" xfId="0" applyNumberFormat="1" applyFont="1" applyBorder="1"/>
    <xf numFmtId="0" fontId="0" fillId="0" borderId="23" xfId="0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/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49" fontId="4" fillId="0" borderId="7" xfId="0" applyNumberFormat="1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16" fillId="0" borderId="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0" fontId="4" fillId="0" borderId="0" xfId="0" applyFont="1" applyFill="1"/>
    <xf numFmtId="4" fontId="3" fillId="0" borderId="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38" fillId="0" borderId="6" xfId="0" applyNumberFormat="1" applyFont="1" applyFill="1" applyBorder="1" applyAlignment="1">
      <alignment horizontal="center" vertical="top" wrapText="1"/>
    </xf>
    <xf numFmtId="49" fontId="38" fillId="0" borderId="7" xfId="0" applyNumberFormat="1" applyFont="1" applyFill="1" applyBorder="1" applyAlignment="1">
      <alignment horizontal="left" vertical="top" wrapText="1"/>
    </xf>
    <xf numFmtId="4" fontId="38" fillId="0" borderId="7" xfId="0" applyNumberFormat="1" applyFont="1" applyFill="1" applyBorder="1" applyAlignment="1">
      <alignment horizontal="right" vertical="top" wrapText="1"/>
    </xf>
    <xf numFmtId="4" fontId="38" fillId="0" borderId="7" xfId="0" applyNumberFormat="1" applyFont="1" applyFill="1" applyBorder="1" applyAlignment="1">
      <alignment horizontal="right" vertical="top"/>
    </xf>
    <xf numFmtId="4" fontId="38" fillId="0" borderId="8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>
      <alignment horizontal="right" vertical="top" wrapText="1"/>
    </xf>
    <xf numFmtId="0" fontId="39" fillId="0" borderId="0" xfId="0" applyFont="1" applyFill="1" applyAlignment="1">
      <alignment horizontal="center" vertical="center"/>
    </xf>
    <xf numFmtId="4" fontId="38" fillId="0" borderId="7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Fill="1"/>
    <xf numFmtId="0" fontId="3" fillId="0" borderId="0" xfId="0" applyFont="1" applyFill="1" applyBorder="1" applyAlignment="1">
      <alignment horizontal="center" wrapText="1"/>
    </xf>
    <xf numFmtId="4" fontId="39" fillId="0" borderId="7" xfId="0" applyNumberFormat="1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top" wrapText="1"/>
    </xf>
    <xf numFmtId="4" fontId="16" fillId="7" borderId="7" xfId="0" applyNumberFormat="1" applyFont="1" applyFill="1" applyBorder="1" applyAlignment="1">
      <alignment horizontal="right" vertical="top" wrapText="1"/>
    </xf>
    <xf numFmtId="4" fontId="4" fillId="7" borderId="7" xfId="0" applyNumberFormat="1" applyFont="1" applyFill="1" applyBorder="1" applyAlignment="1">
      <alignment horizontal="right" vertical="top"/>
    </xf>
    <xf numFmtId="4" fontId="4" fillId="7" borderId="8" xfId="0" applyNumberFormat="1" applyFont="1" applyFill="1" applyBorder="1" applyAlignment="1">
      <alignment horizontal="right" vertical="top" wrapText="1"/>
    </xf>
    <xf numFmtId="4" fontId="4" fillId="7" borderId="0" xfId="0" applyNumberFormat="1" applyFont="1" applyFill="1" applyBorder="1" applyAlignment="1">
      <alignment horizontal="right" vertical="top" wrapText="1"/>
    </xf>
    <xf numFmtId="0" fontId="4" fillId="7" borderId="0" xfId="0" applyFont="1" applyFill="1" applyAlignment="1">
      <alignment horizontal="center" vertical="center"/>
    </xf>
    <xf numFmtId="4" fontId="4" fillId="7" borderId="7" xfId="0" applyNumberFormat="1" applyFont="1" applyFill="1" applyBorder="1" applyAlignment="1">
      <alignment vertical="center"/>
    </xf>
    <xf numFmtId="0" fontId="4" fillId="7" borderId="0" xfId="0" applyFont="1" applyFill="1"/>
    <xf numFmtId="4" fontId="4" fillId="7" borderId="7" xfId="0" applyNumberFormat="1" applyFont="1" applyFill="1" applyBorder="1" applyAlignment="1">
      <alignment horizontal="right" vertical="top" wrapText="1"/>
    </xf>
    <xf numFmtId="0" fontId="3" fillId="7" borderId="6" xfId="0" applyFont="1" applyFill="1" applyBorder="1" applyAlignment="1">
      <alignment horizontal="center" vertical="top" wrapText="1"/>
    </xf>
    <xf numFmtId="49" fontId="3" fillId="7" borderId="7" xfId="0" applyNumberFormat="1" applyFont="1" applyFill="1" applyBorder="1" applyAlignment="1">
      <alignment horizontal="left" vertical="top" wrapText="1"/>
    </xf>
    <xf numFmtId="4" fontId="3" fillId="7" borderId="7" xfId="0" applyNumberFormat="1" applyFont="1" applyFill="1" applyBorder="1" applyAlignment="1">
      <alignment horizontal="right" vertical="top"/>
    </xf>
    <xf numFmtId="4" fontId="3" fillId="7" borderId="7" xfId="0" applyNumberFormat="1" applyFont="1" applyFill="1" applyBorder="1" applyAlignment="1">
      <alignment horizontal="right" vertical="top" wrapText="1"/>
    </xf>
    <xf numFmtId="4" fontId="3" fillId="7" borderId="8" xfId="0" applyNumberFormat="1" applyFont="1" applyFill="1" applyBorder="1" applyAlignment="1">
      <alignment horizontal="right" vertical="top" wrapText="1"/>
    </xf>
    <xf numFmtId="4" fontId="3" fillId="7" borderId="0" xfId="0" applyNumberFormat="1" applyFont="1" applyFill="1" applyBorder="1" applyAlignment="1">
      <alignment horizontal="right" vertical="top" wrapText="1"/>
    </xf>
    <xf numFmtId="4" fontId="3" fillId="7" borderId="7" xfId="0" applyNumberFormat="1" applyFont="1" applyFill="1" applyBorder="1" applyAlignment="1">
      <alignment vertical="center"/>
    </xf>
    <xf numFmtId="2" fontId="13" fillId="7" borderId="0" xfId="0" applyNumberFormat="1" applyFont="1" applyFill="1"/>
    <xf numFmtId="0" fontId="13" fillId="7" borderId="6" xfId="0" applyFont="1" applyFill="1" applyBorder="1" applyAlignment="1">
      <alignment horizontal="center" vertical="top" wrapText="1"/>
    </xf>
    <xf numFmtId="49" fontId="13" fillId="7" borderId="7" xfId="0" applyNumberFormat="1" applyFont="1" applyFill="1" applyBorder="1" applyAlignment="1">
      <alignment horizontal="left" vertical="top" wrapText="1"/>
    </xf>
    <xf numFmtId="4" fontId="13" fillId="7" borderId="7" xfId="0" applyNumberFormat="1" applyFont="1" applyFill="1" applyBorder="1" applyAlignment="1">
      <alignment horizontal="right" vertical="top"/>
    </xf>
    <xf numFmtId="4" fontId="13" fillId="7" borderId="7" xfId="0" applyNumberFormat="1" applyFont="1" applyFill="1" applyBorder="1" applyAlignment="1">
      <alignment horizontal="right" vertical="top" wrapText="1"/>
    </xf>
    <xf numFmtId="4" fontId="13" fillId="7" borderId="8" xfId="0" applyNumberFormat="1" applyFont="1" applyFill="1" applyBorder="1" applyAlignment="1">
      <alignment horizontal="right" vertical="top" wrapText="1"/>
    </xf>
    <xf numFmtId="4" fontId="13" fillId="7" borderId="0" xfId="0" applyNumberFormat="1" applyFont="1" applyFill="1" applyBorder="1" applyAlignment="1">
      <alignment horizontal="right" vertical="top" wrapText="1"/>
    </xf>
    <xf numFmtId="0" fontId="13" fillId="7" borderId="0" xfId="0" applyFont="1" applyFill="1" applyAlignment="1">
      <alignment horizontal="center" vertical="center"/>
    </xf>
    <xf numFmtId="4" fontId="13" fillId="7" borderId="7" xfId="0" applyNumberFormat="1" applyFont="1" applyFill="1" applyBorder="1" applyAlignment="1">
      <alignment vertical="center"/>
    </xf>
    <xf numFmtId="0" fontId="13" fillId="7" borderId="0" xfId="0" applyFont="1" applyFill="1"/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4" fontId="3" fillId="0" borderId="7" xfId="0" applyNumberFormat="1" applyFont="1" applyFill="1" applyBorder="1" applyAlignment="1">
      <alignment horizontal="right" vertical="top"/>
    </xf>
    <xf numFmtId="4" fontId="3" fillId="0" borderId="8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/>
    <xf numFmtId="0" fontId="38" fillId="0" borderId="0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49" fontId="4" fillId="0" borderId="6" xfId="0" applyNumberFormat="1" applyFont="1" applyBorder="1" applyAlignment="1">
      <alignment horizontal="center" vertical="top" wrapText="1"/>
    </xf>
    <xf numFmtId="49" fontId="38" fillId="0" borderId="6" xfId="0" applyNumberFormat="1" applyFont="1" applyBorder="1" applyAlignment="1">
      <alignment horizontal="center" vertical="top" wrapText="1"/>
    </xf>
    <xf numFmtId="49" fontId="38" fillId="0" borderId="7" xfId="0" applyNumberFormat="1" applyFont="1" applyBorder="1" applyAlignment="1">
      <alignment horizontal="left" vertical="top" wrapText="1"/>
    </xf>
    <xf numFmtId="4" fontId="38" fillId="0" borderId="7" xfId="0" applyNumberFormat="1" applyFont="1" applyBorder="1" applyAlignment="1">
      <alignment horizontal="right" vertical="top" wrapText="1"/>
    </xf>
    <xf numFmtId="4" fontId="38" fillId="0" borderId="7" xfId="0" applyNumberFormat="1" applyFont="1" applyBorder="1" applyAlignment="1">
      <alignment horizontal="right" vertical="top"/>
    </xf>
    <xf numFmtId="4" fontId="38" fillId="0" borderId="8" xfId="0" applyNumberFormat="1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0" fontId="39" fillId="0" borderId="0" xfId="0" applyFont="1" applyAlignment="1">
      <alignment horizontal="center" vertical="center"/>
    </xf>
    <xf numFmtId="4" fontId="39" fillId="0" borderId="7" xfId="0" applyNumberFormat="1" applyFont="1" applyBorder="1" applyAlignment="1">
      <alignment vertical="center"/>
    </xf>
    <xf numFmtId="0" fontId="39" fillId="0" borderId="0" xfId="0" applyFont="1"/>
    <xf numFmtId="49" fontId="3" fillId="0" borderId="7" xfId="0" applyNumberFormat="1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right" vertical="top" wrapText="1"/>
    </xf>
    <xf numFmtId="4" fontId="3" fillId="0" borderId="7" xfId="0" applyNumberFormat="1" applyFont="1" applyBorder="1" applyAlignment="1">
      <alignment vertical="center" wrapText="1"/>
    </xf>
    <xf numFmtId="4" fontId="38" fillId="0" borderId="7" xfId="0" applyNumberFormat="1" applyFont="1" applyBorder="1" applyAlignment="1">
      <alignment vertical="center"/>
    </xf>
    <xf numFmtId="4" fontId="38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9" fillId="0" borderId="6" xfId="0" applyNumberFormat="1" applyFont="1" applyBorder="1" applyAlignment="1">
      <alignment horizontal="center" vertical="top" wrapText="1"/>
    </xf>
    <xf numFmtId="4" fontId="39" fillId="0" borderId="8" xfId="0" applyNumberFormat="1" applyFont="1" applyBorder="1" applyAlignment="1">
      <alignment horizontal="right" vertical="top" wrapText="1"/>
    </xf>
    <xf numFmtId="4" fontId="39" fillId="0" borderId="0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49" fontId="38" fillId="0" borderId="7" xfId="0" applyNumberFormat="1" applyFont="1" applyBorder="1" applyAlignment="1">
      <alignment horizontal="left" vertical="center" wrapText="1"/>
    </xf>
    <xf numFmtId="49" fontId="3" fillId="7" borderId="6" xfId="0" applyNumberFormat="1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right" vertical="top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4" fontId="4" fillId="12" borderId="7" xfId="0" applyNumberFormat="1" applyFont="1" applyFill="1" applyBorder="1" applyAlignment="1">
      <alignment vertical="center"/>
    </xf>
    <xf numFmtId="4" fontId="4" fillId="12" borderId="7" xfId="0" applyNumberFormat="1" applyFont="1" applyFill="1" applyBorder="1" applyAlignment="1">
      <alignment horizontal="right" vertical="top"/>
    </xf>
    <xf numFmtId="2" fontId="11" fillId="0" borderId="7" xfId="0" applyNumberFormat="1" applyFont="1" applyBorder="1" applyAlignment="1">
      <alignment horizontal="center" vertical="center"/>
    </xf>
    <xf numFmtId="49" fontId="43" fillId="0" borderId="7" xfId="0" applyNumberFormat="1" applyFont="1" applyBorder="1" applyAlignment="1">
      <alignment horizontal="center" vertical="center" wrapText="1"/>
    </xf>
    <xf numFmtId="49" fontId="43" fillId="0" borderId="7" xfId="0" applyNumberFormat="1" applyFont="1" applyBorder="1" applyAlignment="1">
      <alignment horizontal="left" vertical="center" wrapText="1"/>
    </xf>
    <xf numFmtId="4" fontId="43" fillId="0" borderId="7" xfId="0" applyNumberFormat="1" applyFont="1" applyBorder="1" applyAlignment="1">
      <alignment horizontal="center" vertical="center"/>
    </xf>
    <xf numFmtId="0" fontId="43" fillId="0" borderId="7" xfId="0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164" fontId="43" fillId="0" borderId="7" xfId="2" applyFont="1" applyBorder="1" applyAlignment="1">
      <alignment vertical="center"/>
    </xf>
    <xf numFmtId="2" fontId="43" fillId="0" borderId="7" xfId="0" applyNumberFormat="1" applyFont="1" applyBorder="1" applyAlignment="1">
      <alignment horizontal="center" vertical="center"/>
    </xf>
    <xf numFmtId="164" fontId="43" fillId="0" borderId="7" xfId="0" applyNumberFormat="1" applyFont="1" applyFill="1" applyBorder="1" applyAlignment="1">
      <alignment horizontal="center" vertical="center"/>
    </xf>
    <xf numFmtId="164" fontId="43" fillId="0" borderId="7" xfId="2" applyFont="1" applyFill="1" applyBorder="1" applyAlignment="1">
      <alignment horizontal="right" vertical="center"/>
    </xf>
    <xf numFmtId="2" fontId="18" fillId="0" borderId="7" xfId="0" applyNumberFormat="1" applyFont="1" applyBorder="1" applyAlignment="1">
      <alignment horizontal="center" vertical="center"/>
    </xf>
    <xf numFmtId="0" fontId="44" fillId="0" borderId="7" xfId="0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7" xfId="0" applyNumberFormat="1" applyFont="1" applyBorder="1" applyAlignment="1">
      <alignment horizontal="center" vertical="center"/>
    </xf>
    <xf numFmtId="164" fontId="44" fillId="0" borderId="7" xfId="2" applyFont="1" applyBorder="1" applyAlignment="1">
      <alignment vertical="center"/>
    </xf>
    <xf numFmtId="164" fontId="44" fillId="0" borderId="7" xfId="0" applyNumberFormat="1" applyFont="1" applyFill="1" applyBorder="1" applyAlignment="1">
      <alignment horizontal="center" vertical="center"/>
    </xf>
    <xf numFmtId="164" fontId="44" fillId="0" borderId="7" xfId="2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wrapText="1"/>
    </xf>
    <xf numFmtId="2" fontId="11" fillId="1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left" vertical="top" wrapText="1"/>
    </xf>
    <xf numFmtId="49" fontId="43" fillId="0" borderId="7" xfId="0" applyNumberFormat="1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49" fontId="24" fillId="0" borderId="7" xfId="0" applyNumberFormat="1" applyFont="1" applyBorder="1" applyAlignment="1">
      <alignment horizontal="left" vertical="top" wrapText="1"/>
    </xf>
    <xf numFmtId="49" fontId="43" fillId="0" borderId="7" xfId="0" applyNumberFormat="1" applyFont="1" applyFill="1" applyBorder="1" applyAlignment="1">
      <alignment horizontal="left" vertical="top" wrapText="1"/>
    </xf>
    <xf numFmtId="49" fontId="43" fillId="0" borderId="7" xfId="0" applyNumberFormat="1" applyFont="1" applyFill="1" applyBorder="1" applyAlignment="1">
      <alignment horizontal="center" vertical="top" wrapText="1"/>
    </xf>
    <xf numFmtId="0" fontId="21" fillId="11" borderId="7" xfId="0" applyFont="1" applyFill="1" applyBorder="1" applyAlignment="1">
      <alignment horizontal="left" vertical="center" wrapText="1"/>
    </xf>
    <xf numFmtId="0" fontId="21" fillId="11" borderId="7" xfId="0" applyFont="1" applyFill="1" applyBorder="1" applyAlignment="1">
      <alignment horizontal="center" vertical="center" wrapText="1"/>
    </xf>
    <xf numFmtId="49" fontId="11" fillId="11" borderId="7" xfId="0" applyNumberFormat="1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left" vertical="top" wrapText="1"/>
    </xf>
    <xf numFmtId="49" fontId="45" fillId="0" borderId="7" xfId="0" applyNumberFormat="1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left" vertical="top" wrapText="1"/>
    </xf>
    <xf numFmtId="0" fontId="45" fillId="0" borderId="7" xfId="0" applyFont="1" applyFill="1" applyBorder="1" applyAlignment="1">
      <alignment horizontal="left" vertical="center" wrapText="1"/>
    </xf>
    <xf numFmtId="0" fontId="45" fillId="0" borderId="7" xfId="0" applyFont="1" applyFill="1" applyBorder="1" applyAlignment="1">
      <alignment horizontal="center" vertical="center" wrapText="1"/>
    </xf>
    <xf numFmtId="4" fontId="45" fillId="0" borderId="7" xfId="0" applyNumberFormat="1" applyFont="1" applyBorder="1" applyAlignment="1">
      <alignment horizontal="center" vertical="center"/>
    </xf>
    <xf numFmtId="2" fontId="45" fillId="0" borderId="7" xfId="0" applyNumberFormat="1" applyFont="1" applyBorder="1" applyAlignment="1">
      <alignment horizontal="center" vertical="center"/>
    </xf>
    <xf numFmtId="4" fontId="46" fillId="0" borderId="7" xfId="0" applyNumberFormat="1" applyFont="1" applyBorder="1" applyAlignment="1">
      <alignment horizontal="center" vertical="center"/>
    </xf>
    <xf numFmtId="164" fontId="45" fillId="0" borderId="7" xfId="2" applyFont="1" applyBorder="1" applyAlignment="1">
      <alignment vertical="center"/>
    </xf>
    <xf numFmtId="164" fontId="45" fillId="0" borderId="7" xfId="0" applyNumberFormat="1" applyFont="1" applyFill="1" applyBorder="1" applyAlignment="1">
      <alignment horizontal="center" vertical="center"/>
    </xf>
    <xf numFmtId="164" fontId="45" fillId="0" borderId="7" xfId="2" applyFont="1" applyFill="1" applyBorder="1" applyAlignment="1">
      <alignment horizontal="right" vertical="center"/>
    </xf>
    <xf numFmtId="0" fontId="47" fillId="0" borderId="7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center" vertical="center" wrapText="1"/>
    </xf>
    <xf numFmtId="164" fontId="47" fillId="0" borderId="7" xfId="2" applyFont="1" applyBorder="1" applyAlignment="1">
      <alignment vertical="center"/>
    </xf>
    <xf numFmtId="164" fontId="47" fillId="0" borderId="7" xfId="0" applyNumberFormat="1" applyFont="1" applyFill="1" applyBorder="1" applyAlignment="1">
      <alignment horizontal="center" vertical="center"/>
    </xf>
    <xf numFmtId="164" fontId="47" fillId="0" borderId="7" xfId="2" applyFont="1" applyFill="1" applyBorder="1" applyAlignment="1">
      <alignment horizontal="right" vertical="center"/>
    </xf>
    <xf numFmtId="0" fontId="48" fillId="0" borderId="7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center" vertical="center" wrapText="1"/>
    </xf>
    <xf numFmtId="4" fontId="47" fillId="0" borderId="7" xfId="0" applyNumberFormat="1" applyFont="1" applyBorder="1" applyAlignment="1">
      <alignment horizontal="center" vertical="center"/>
    </xf>
    <xf numFmtId="4" fontId="48" fillId="0" borderId="7" xfId="0" applyNumberFormat="1" applyFont="1" applyBorder="1" applyAlignment="1">
      <alignment horizontal="center" vertical="center"/>
    </xf>
    <xf numFmtId="49" fontId="45" fillId="0" borderId="7" xfId="0" applyNumberFormat="1" applyFont="1" applyBorder="1" applyAlignment="1">
      <alignment horizontal="center" vertical="center" wrapText="1"/>
    </xf>
    <xf numFmtId="49" fontId="45" fillId="0" borderId="7" xfId="0" applyNumberFormat="1" applyFont="1" applyBorder="1" applyAlignment="1">
      <alignment horizontal="left" vertical="center" wrapText="1"/>
    </xf>
    <xf numFmtId="0" fontId="48" fillId="0" borderId="7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4" fontId="45" fillId="0" borderId="7" xfId="2" applyNumberFormat="1" applyFont="1" applyFill="1" applyBorder="1" applyAlignment="1">
      <alignment horizontal="center" vertical="center"/>
    </xf>
    <xf numFmtId="49" fontId="48" fillId="0" borderId="7" xfId="0" applyNumberFormat="1" applyFont="1" applyBorder="1" applyAlignment="1">
      <alignment horizontal="center" vertical="center" wrapText="1"/>
    </xf>
    <xf numFmtId="164" fontId="45" fillId="0" borderId="7" xfId="0" applyNumberFormat="1" applyFont="1" applyBorder="1" applyAlignment="1">
      <alignment vertical="center"/>
    </xf>
    <xf numFmtId="49" fontId="48" fillId="0" borderId="7" xfId="0" applyNumberFormat="1" applyFont="1" applyBorder="1" applyAlignment="1">
      <alignment horizontal="left" vertical="center" wrapText="1"/>
    </xf>
    <xf numFmtId="0" fontId="11" fillId="7" borderId="7" xfId="0" applyFont="1" applyFill="1" applyBorder="1" applyAlignment="1">
      <alignment vertical="center"/>
    </xf>
    <xf numFmtId="49" fontId="45" fillId="0" borderId="7" xfId="0" applyNumberFormat="1" applyFont="1" applyBorder="1" applyAlignment="1">
      <alignment horizontal="left" vertical="top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18" fillId="6" borderId="4" xfId="4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5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43" fillId="0" borderId="8" xfId="0" applyNumberFormat="1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center" vertical="center" wrapText="1"/>
    </xf>
    <xf numFmtId="164" fontId="11" fillId="11" borderId="7" xfId="0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168" fontId="11" fillId="11" borderId="7" xfId="0" applyNumberFormat="1" applyFont="1" applyFill="1" applyBorder="1" applyAlignment="1">
      <alignment horizontal="center" vertical="center"/>
    </xf>
    <xf numFmtId="165" fontId="11" fillId="11" borderId="7" xfId="0" applyNumberFormat="1" applyFont="1" applyFill="1" applyBorder="1" applyAlignment="1">
      <alignment horizontal="center" vertical="center"/>
    </xf>
    <xf numFmtId="3" fontId="11" fillId="11" borderId="7" xfId="0" applyNumberFormat="1" applyFont="1" applyFill="1" applyBorder="1" applyAlignment="1">
      <alignment horizontal="right" vertical="center"/>
    </xf>
    <xf numFmtId="4" fontId="11" fillId="11" borderId="7" xfId="0" applyNumberFormat="1" applyFont="1" applyFill="1" applyBorder="1" applyAlignment="1">
      <alignment horizontal="right" vertical="center"/>
    </xf>
    <xf numFmtId="49" fontId="21" fillId="11" borderId="7" xfId="0" applyNumberFormat="1" applyFont="1" applyFill="1" applyBorder="1" applyAlignment="1">
      <alignment horizontal="center" vertical="center" wrapText="1"/>
    </xf>
    <xf numFmtId="49" fontId="11" fillId="11" borderId="7" xfId="0" applyNumberFormat="1" applyFont="1" applyFill="1" applyBorder="1" applyAlignment="1">
      <alignment horizontal="center" vertical="center" wrapText="1"/>
    </xf>
    <xf numFmtId="49" fontId="11" fillId="11" borderId="7" xfId="0" applyNumberFormat="1" applyFont="1" applyFill="1" applyBorder="1" applyAlignment="1">
      <alignment horizontal="left" vertical="top" wrapText="1"/>
    </xf>
    <xf numFmtId="4" fontId="11" fillId="11" borderId="7" xfId="0" applyNumberFormat="1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left" vertical="center"/>
    </xf>
    <xf numFmtId="3" fontId="23" fillId="7" borderId="7" xfId="4" applyNumberFormat="1" applyFont="1" applyFill="1" applyBorder="1" applyAlignment="1">
      <alignment horizontal="left" vertical="center"/>
    </xf>
    <xf numFmtId="166" fontId="19" fillId="7" borderId="7" xfId="4" applyNumberFormat="1" applyFont="1" applyFill="1" applyBorder="1" applyAlignment="1">
      <alignment horizontal="left" vertical="center"/>
    </xf>
    <xf numFmtId="0" fontId="18" fillId="7" borderId="7" xfId="4" applyFont="1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/>
    </xf>
    <xf numFmtId="4" fontId="23" fillId="7" borderId="7" xfId="4" applyNumberFormat="1" applyFont="1" applyFill="1" applyBorder="1" applyAlignment="1">
      <alignment horizontal="center" vertical="center"/>
    </xf>
    <xf numFmtId="4" fontId="0" fillId="0" borderId="0" xfId="0" applyNumberFormat="1"/>
    <xf numFmtId="0" fontId="18" fillId="0" borderId="0" xfId="1" applyFont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8" fillId="10" borderId="3" xfId="0" applyNumberFormat="1" applyFont="1" applyFill="1" applyBorder="1" applyAlignment="1">
      <alignment horizontal="center" vertical="center" wrapText="1"/>
    </xf>
    <xf numFmtId="49" fontId="18" fillId="10" borderId="24" xfId="0" applyNumberFormat="1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vertical="center" wrapText="1"/>
    </xf>
    <xf numFmtId="0" fontId="21" fillId="10" borderId="4" xfId="0" applyFont="1" applyFill="1" applyBorder="1" applyAlignment="1">
      <alignment horizontal="left" vertical="center" wrapText="1"/>
    </xf>
    <xf numFmtId="0" fontId="21" fillId="10" borderId="5" xfId="0" applyFont="1" applyFill="1" applyBorder="1" applyAlignment="1">
      <alignment horizontal="center" vertical="center" wrapText="1"/>
    </xf>
    <xf numFmtId="49" fontId="23" fillId="7" borderId="17" xfId="0" applyNumberFormat="1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left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center" wrapText="1"/>
    </xf>
    <xf numFmtId="0" fontId="11" fillId="0" borderId="0" xfId="1" applyFont="1"/>
    <xf numFmtId="49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49" fillId="0" borderId="0" xfId="0" applyFont="1"/>
    <xf numFmtId="0" fontId="49" fillId="0" borderId="7" xfId="0" applyFont="1" applyFill="1" applyBorder="1"/>
    <xf numFmtId="0" fontId="49" fillId="0" borderId="7" xfId="0" applyFont="1" applyBorder="1"/>
    <xf numFmtId="0" fontId="36" fillId="0" borderId="7" xfId="4" applyFont="1" applyBorder="1"/>
    <xf numFmtId="4" fontId="50" fillId="0" borderId="7" xfId="4" applyNumberFormat="1" applyFont="1" applyBorder="1" applyAlignment="1">
      <alignment horizontal="center" vertical="center"/>
    </xf>
    <xf numFmtId="4" fontId="51" fillId="0" borderId="7" xfId="4" applyNumberFormat="1" applyFont="1" applyBorder="1" applyAlignment="1">
      <alignment horizontal="center" vertical="center"/>
    </xf>
    <xf numFmtId="0" fontId="52" fillId="0" borderId="7" xfId="0" applyFont="1" applyBorder="1"/>
    <xf numFmtId="0" fontId="53" fillId="0" borderId="7" xfId="0" applyFont="1" applyBorder="1"/>
    <xf numFmtId="167" fontId="21" fillId="0" borderId="0" xfId="0" applyNumberFormat="1" applyFont="1" applyAlignment="1">
      <alignment horizontal="center" vertical="top"/>
    </xf>
    <xf numFmtId="0" fontId="21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/>
    <xf numFmtId="169" fontId="11" fillId="0" borderId="0" xfId="0" applyNumberFormat="1" applyFont="1" applyAlignment="1">
      <alignment vertical="center"/>
    </xf>
    <xf numFmtId="170" fontId="11" fillId="0" borderId="7" xfId="0" applyNumberFormat="1" applyFont="1" applyFill="1" applyBorder="1" applyAlignment="1">
      <alignment horizontal="center" vertical="center"/>
    </xf>
    <xf numFmtId="49" fontId="43" fillId="0" borderId="7" xfId="0" applyNumberFormat="1" applyFont="1" applyBorder="1" applyAlignment="1">
      <alignment horizontal="right" vertical="center" wrapText="1"/>
    </xf>
    <xf numFmtId="170" fontId="43" fillId="0" borderId="7" xfId="0" applyNumberFormat="1" applyFont="1" applyFill="1" applyBorder="1" applyAlignment="1">
      <alignment horizontal="center" vertical="center"/>
    </xf>
    <xf numFmtId="170" fontId="43" fillId="0" borderId="7" xfId="0" applyNumberFormat="1" applyFont="1" applyBorder="1" applyAlignment="1">
      <alignment horizontal="center" vertical="center"/>
    </xf>
    <xf numFmtId="170" fontId="11" fillId="10" borderId="7" xfId="0" applyNumberFormat="1" applyFont="1" applyFill="1" applyBorder="1" applyAlignment="1">
      <alignment horizontal="center" vertical="center"/>
    </xf>
    <xf numFmtId="164" fontId="54" fillId="0" borderId="7" xfId="2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4" fontId="54" fillId="0" borderId="7" xfId="0" applyNumberFormat="1" applyFont="1" applyBorder="1" applyAlignment="1">
      <alignment horizontal="center" vertical="center"/>
    </xf>
    <xf numFmtId="164" fontId="20" fillId="0" borderId="7" xfId="2" applyFont="1" applyBorder="1" applyAlignment="1">
      <alignment vertical="center"/>
    </xf>
    <xf numFmtId="170" fontId="23" fillId="0" borderId="0" xfId="0" applyNumberFormat="1" applyFont="1" applyAlignment="1">
      <alignment horizontal="center" vertical="center"/>
    </xf>
    <xf numFmtId="0" fontId="11" fillId="0" borderId="0" xfId="22" applyFont="1"/>
    <xf numFmtId="0" fontId="20" fillId="0" borderId="0" xfId="22" applyFont="1"/>
    <xf numFmtId="0" fontId="26" fillId="0" borderId="0" xfId="22" applyFont="1" applyBorder="1" applyAlignment="1"/>
    <xf numFmtId="0" fontId="11" fillId="0" borderId="7" xfId="0" applyFont="1" applyBorder="1" applyAlignment="1">
      <alignment horizontal="center"/>
    </xf>
    <xf numFmtId="0" fontId="11" fillId="11" borderId="0" xfId="0" applyFont="1" applyFill="1" applyAlignment="1">
      <alignment vertical="center"/>
    </xf>
    <xf numFmtId="14" fontId="11" fillId="11" borderId="7" xfId="0" applyNumberFormat="1" applyFont="1" applyFill="1" applyBorder="1"/>
    <xf numFmtId="14" fontId="11" fillId="11" borderId="0" xfId="0" applyNumberFormat="1" applyFont="1" applyFill="1"/>
    <xf numFmtId="0" fontId="11" fillId="11" borderId="0" xfId="0" applyFont="1" applyFill="1"/>
    <xf numFmtId="10" fontId="11" fillId="11" borderId="12" xfId="0" applyNumberFormat="1" applyFont="1" applyFill="1" applyBorder="1" applyAlignment="1">
      <alignment vertical="center"/>
    </xf>
    <xf numFmtId="0" fontId="11" fillId="11" borderId="13" xfId="0" applyFont="1" applyFill="1" applyBorder="1" applyAlignment="1">
      <alignment vertical="center"/>
    </xf>
    <xf numFmtId="0" fontId="11" fillId="0" borderId="7" xfId="0" applyFont="1" applyBorder="1"/>
    <xf numFmtId="0" fontId="11" fillId="11" borderId="7" xfId="0" applyFont="1" applyFill="1" applyBorder="1" applyAlignment="1">
      <alignment vertical="center"/>
    </xf>
    <xf numFmtId="170" fontId="43" fillId="11" borderId="7" xfId="0" applyNumberFormat="1" applyFont="1" applyFill="1" applyBorder="1" applyAlignment="1">
      <alignment horizontal="center" vertical="center"/>
    </xf>
    <xf numFmtId="164" fontId="54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164" fontId="54" fillId="0" borderId="7" xfId="0" applyNumberFormat="1" applyFont="1" applyBorder="1" applyAlignment="1">
      <alignment vertical="center"/>
    </xf>
    <xf numFmtId="164" fontId="54" fillId="0" borderId="7" xfId="2" applyFont="1" applyFill="1" applyBorder="1" applyAlignment="1">
      <alignment horizontal="right" vertical="center"/>
    </xf>
    <xf numFmtId="164" fontId="20" fillId="0" borderId="7" xfId="2" applyFont="1" applyFill="1" applyBorder="1" applyAlignment="1">
      <alignment horizontal="right" vertical="center"/>
    </xf>
    <xf numFmtId="49" fontId="24" fillId="0" borderId="1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173" fontId="11" fillId="0" borderId="7" xfId="0" applyNumberFormat="1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173" fontId="11" fillId="9" borderId="7" xfId="0" applyNumberFormat="1" applyFont="1" applyFill="1" applyBorder="1" applyAlignment="1">
      <alignment vertical="center"/>
    </xf>
    <xf numFmtId="173" fontId="11" fillId="0" borderId="0" xfId="0" applyNumberFormat="1" applyFont="1" applyFill="1" applyBorder="1" applyAlignment="1">
      <alignment vertical="center"/>
    </xf>
    <xf numFmtId="4" fontId="53" fillId="0" borderId="7" xfId="0" applyNumberFormat="1" applyFont="1" applyBorder="1" applyAlignment="1">
      <alignment horizontal="center"/>
    </xf>
    <xf numFmtId="4" fontId="23" fillId="3" borderId="23" xfId="1" applyNumberFormat="1" applyFont="1" applyFill="1" applyBorder="1" applyAlignment="1">
      <alignment horizontal="center" vertical="center"/>
    </xf>
    <xf numFmtId="49" fontId="43" fillId="0" borderId="7" xfId="0" applyNumberFormat="1" applyFont="1" applyFill="1" applyBorder="1" applyAlignment="1">
      <alignment horizontal="left" vertical="center" wrapText="1"/>
    </xf>
    <xf numFmtId="0" fontId="21" fillId="11" borderId="10" xfId="0" applyFont="1" applyFill="1" applyBorder="1" applyAlignment="1">
      <alignment horizontal="left" vertical="center" wrapText="1"/>
    </xf>
    <xf numFmtId="0" fontId="20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/>
    <xf numFmtId="0" fontId="20" fillId="0" borderId="7" xfId="0" applyFont="1" applyBorder="1"/>
    <xf numFmtId="0" fontId="11" fillId="0" borderId="7" xfId="0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170" fontId="11" fillId="0" borderId="7" xfId="0" applyNumberFormat="1" applyFont="1" applyBorder="1" applyAlignment="1">
      <alignment horizontal="center"/>
    </xf>
    <xf numFmtId="14" fontId="0" fillId="9" borderId="7" xfId="0" applyNumberFormat="1" applyFill="1" applyBorder="1"/>
    <xf numFmtId="2" fontId="42" fillId="0" borderId="7" xfId="0" applyNumberFormat="1" applyFont="1" applyFill="1" applyBorder="1" applyAlignment="1">
      <alignment horizontal="center" vertical="center"/>
    </xf>
    <xf numFmtId="2" fontId="43" fillId="0" borderId="7" xfId="0" applyNumberFormat="1" applyFont="1" applyFill="1" applyBorder="1" applyAlignment="1">
      <alignment horizontal="center" vertical="center"/>
    </xf>
    <xf numFmtId="14" fontId="11" fillId="0" borderId="7" xfId="0" applyNumberFormat="1" applyFont="1" applyFill="1" applyBorder="1"/>
    <xf numFmtId="171" fontId="11" fillId="0" borderId="7" xfId="0" applyNumberFormat="1" applyFont="1" applyFill="1" applyBorder="1"/>
    <xf numFmtId="2" fontId="11" fillId="0" borderId="7" xfId="0" applyNumberFormat="1" applyFont="1" applyFill="1" applyBorder="1"/>
    <xf numFmtId="10" fontId="11" fillId="0" borderId="1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0" fontId="11" fillId="0" borderId="7" xfId="0" applyNumberFormat="1" applyFont="1" applyFill="1" applyBorder="1"/>
    <xf numFmtId="0" fontId="11" fillId="0" borderId="7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1" fontId="11" fillId="0" borderId="7" xfId="0" applyNumberFormat="1" applyFont="1" applyFill="1" applyBorder="1"/>
    <xf numFmtId="0" fontId="11" fillId="0" borderId="0" xfId="0" applyFont="1" applyFill="1"/>
    <xf numFmtId="170" fontId="18" fillId="0" borderId="7" xfId="0" applyNumberFormat="1" applyFont="1" applyFill="1" applyBorder="1"/>
    <xf numFmtId="0" fontId="18" fillId="0" borderId="19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 wrapText="1"/>
    </xf>
    <xf numFmtId="164" fontId="45" fillId="0" borderId="17" xfId="2" applyFont="1" applyFill="1" applyBorder="1" applyAlignment="1">
      <alignment horizontal="right" vertical="center"/>
    </xf>
    <xf numFmtId="4" fontId="45" fillId="0" borderId="17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 wrapText="1"/>
    </xf>
    <xf numFmtId="0" fontId="17" fillId="0" borderId="0" xfId="1"/>
    <xf numFmtId="0" fontId="56" fillId="6" borderId="7" xfId="1" applyFont="1" applyFill="1" applyBorder="1" applyAlignment="1">
      <alignment horizontal="center" vertical="center" wrapText="1"/>
    </xf>
    <xf numFmtId="0" fontId="21" fillId="6" borderId="7" xfId="1" applyFont="1" applyFill="1" applyBorder="1" applyAlignment="1">
      <alignment horizontal="center" vertical="center" wrapText="1"/>
    </xf>
    <xf numFmtId="0" fontId="21" fillId="11" borderId="17" xfId="1" applyFont="1" applyFill="1" applyBorder="1" applyAlignment="1">
      <alignment horizontal="center" vertical="center" wrapText="1"/>
    </xf>
    <xf numFmtId="0" fontId="21" fillId="11" borderId="17" xfId="1" applyFont="1" applyFill="1" applyBorder="1" applyAlignment="1">
      <alignment horizontal="left" vertical="center" wrapText="1"/>
    </xf>
    <xf numFmtId="14" fontId="21" fillId="11" borderId="7" xfId="1" applyNumberFormat="1" applyFont="1" applyFill="1" applyBorder="1" applyAlignment="1">
      <alignment horizontal="center" vertical="center" wrapText="1"/>
    </xf>
    <xf numFmtId="0" fontId="21" fillId="11" borderId="7" xfId="1" applyFont="1" applyFill="1" applyBorder="1" applyAlignment="1">
      <alignment horizontal="center" vertical="center" wrapText="1"/>
    </xf>
    <xf numFmtId="0" fontId="21" fillId="11" borderId="7" xfId="1" applyFont="1" applyFill="1" applyBorder="1" applyAlignment="1">
      <alignment horizontal="left" vertical="center" wrapText="1"/>
    </xf>
    <xf numFmtId="0" fontId="21" fillId="0" borderId="0" xfId="1" applyFont="1"/>
    <xf numFmtId="4" fontId="57" fillId="13" borderId="7" xfId="32" applyNumberFormat="1" applyBorder="1" applyAlignment="1">
      <alignment horizontal="right" vertical="top" wrapText="1"/>
    </xf>
    <xf numFmtId="4" fontId="57" fillId="13" borderId="7" xfId="32" applyNumberFormat="1" applyBorder="1" applyAlignment="1">
      <alignment vertical="center"/>
    </xf>
    <xf numFmtId="4" fontId="3" fillId="0" borderId="10" xfId="0" applyNumberFormat="1" applyFont="1" applyBorder="1" applyAlignment="1">
      <alignment horizontal="right" vertical="top"/>
    </xf>
    <xf numFmtId="4" fontId="4" fillId="12" borderId="10" xfId="0" applyNumberFormat="1" applyFont="1" applyFill="1" applyBorder="1" applyAlignment="1">
      <alignment vertical="center"/>
    </xf>
    <xf numFmtId="4" fontId="4" fillId="12" borderId="10" xfId="0" applyNumberFormat="1" applyFont="1" applyFill="1" applyBorder="1" applyAlignment="1">
      <alignment horizontal="right" vertical="top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11" fillId="0" borderId="0" xfId="22" applyFont="1" applyFill="1"/>
    <xf numFmtId="164" fontId="18" fillId="0" borderId="0" xfId="0" applyNumberFormat="1" applyFont="1" applyAlignment="1">
      <alignment vertical="center"/>
    </xf>
    <xf numFmtId="175" fontId="11" fillId="0" borderId="0" xfId="0" applyNumberFormat="1" applyFont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72" fontId="11" fillId="0" borderId="7" xfId="29" applyNumberFormat="1" applyFont="1" applyBorder="1"/>
    <xf numFmtId="0" fontId="23" fillId="0" borderId="0" xfId="1" applyFont="1" applyAlignment="1">
      <alignment horizontal="center" vertical="center"/>
    </xf>
    <xf numFmtId="0" fontId="23" fillId="0" borderId="0" xfId="1" quotePrefix="1" applyFont="1" applyAlignment="1">
      <alignment horizontal="center" vertical="center" wrapText="1"/>
    </xf>
    <xf numFmtId="0" fontId="21" fillId="6" borderId="7" xfId="1" applyFont="1" applyFill="1" applyBorder="1" applyAlignment="1">
      <alignment horizontal="center" vertical="center" wrapText="1"/>
    </xf>
    <xf numFmtId="0" fontId="56" fillId="6" borderId="19" xfId="1" applyFont="1" applyFill="1" applyBorder="1" applyAlignment="1">
      <alignment horizontal="center" vertical="center" wrapText="1"/>
    </xf>
    <xf numFmtId="0" fontId="56" fillId="6" borderId="20" xfId="1" applyFont="1" applyFill="1" applyBorder="1" applyAlignment="1">
      <alignment horizontal="center" vertical="center" wrapText="1"/>
    </xf>
    <xf numFmtId="0" fontId="56" fillId="6" borderId="21" xfId="1" applyFont="1" applyFill="1" applyBorder="1" applyAlignment="1">
      <alignment horizontal="center" vertical="center" wrapText="1"/>
    </xf>
    <xf numFmtId="0" fontId="56" fillId="6" borderId="22" xfId="1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23" fillId="0" borderId="0" xfId="0" quotePrefix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8" fillId="0" borderId="0" xfId="4" applyFont="1" applyAlignment="1">
      <alignment horizontal="center" vertical="center" wrapText="1"/>
    </xf>
    <xf numFmtId="0" fontId="18" fillId="0" borderId="0" xfId="4" quotePrefix="1" applyFont="1" applyAlignment="1">
      <alignment horizontal="left" vertical="center" wrapText="1"/>
    </xf>
    <xf numFmtId="0" fontId="11" fillId="0" borderId="0" xfId="4" applyFont="1" applyFill="1" applyAlignment="1">
      <alignment horizontal="left" vertical="center" wrapText="1"/>
    </xf>
    <xf numFmtId="0" fontId="11" fillId="6" borderId="10" xfId="4" applyFont="1" applyFill="1" applyBorder="1" applyAlignment="1">
      <alignment horizontal="center" vertical="center" wrapText="1"/>
    </xf>
    <xf numFmtId="0" fontId="11" fillId="6" borderId="17" xfId="4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11" fillId="6" borderId="19" xfId="4" applyFont="1" applyFill="1" applyBorder="1" applyAlignment="1">
      <alignment horizontal="center" vertical="center" wrapText="1"/>
    </xf>
    <xf numFmtId="0" fontId="11" fillId="6" borderId="20" xfId="4" applyFont="1" applyFill="1" applyBorder="1" applyAlignment="1">
      <alignment horizontal="center" vertical="center" wrapText="1"/>
    </xf>
    <xf numFmtId="0" fontId="11" fillId="6" borderId="21" xfId="4" applyFont="1" applyFill="1" applyBorder="1" applyAlignment="1">
      <alignment horizontal="center" vertical="center" wrapText="1"/>
    </xf>
    <xf numFmtId="0" fontId="11" fillId="6" borderId="22" xfId="4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34" fillId="6" borderId="12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18" fillId="0" borderId="2" xfId="1" quotePrefix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left" vertical="top"/>
    </xf>
    <xf numFmtId="0" fontId="11" fillId="11" borderId="20" xfId="0" applyFont="1" applyFill="1" applyBorder="1" applyAlignment="1">
      <alignment horizontal="left" vertical="top"/>
    </xf>
    <xf numFmtId="0" fontId="11" fillId="11" borderId="2" xfId="0" applyFont="1" applyFill="1" applyBorder="1" applyAlignment="1">
      <alignment horizontal="left" vertical="top"/>
    </xf>
    <xf numFmtId="0" fontId="11" fillId="11" borderId="22" xfId="0" applyFont="1" applyFill="1" applyBorder="1" applyAlignment="1">
      <alignment horizontal="left" vertical="top"/>
    </xf>
    <xf numFmtId="0" fontId="11" fillId="11" borderId="12" xfId="0" applyFont="1" applyFill="1" applyBorder="1" applyAlignment="1">
      <alignment horizontal="left" wrapText="1"/>
    </xf>
    <xf numFmtId="0" fontId="11" fillId="11" borderId="18" xfId="0" applyFont="1" applyFill="1" applyBorder="1" applyAlignment="1">
      <alignment horizontal="left" wrapText="1"/>
    </xf>
    <xf numFmtId="0" fontId="11" fillId="11" borderId="13" xfId="0" applyFont="1" applyFill="1" applyBorder="1" applyAlignment="1">
      <alignment horizontal="left" wrapText="1"/>
    </xf>
    <xf numFmtId="0" fontId="11" fillId="11" borderId="12" xfId="0" applyFont="1" applyFill="1" applyBorder="1" applyAlignment="1">
      <alignment horizontal="left" vertical="center"/>
    </xf>
    <xf numFmtId="0" fontId="11" fillId="11" borderId="18" xfId="0" applyFont="1" applyFill="1" applyBorder="1" applyAlignment="1">
      <alignment horizontal="left" vertical="center"/>
    </xf>
    <xf numFmtId="0" fontId="11" fillId="11" borderId="13" xfId="0" applyFont="1" applyFill="1" applyBorder="1" applyAlignment="1">
      <alignment horizontal="left" vertical="center"/>
    </xf>
    <xf numFmtId="0" fontId="11" fillId="11" borderId="12" xfId="0" applyFont="1" applyFill="1" applyBorder="1" applyAlignment="1">
      <alignment horizontal="left" vertical="center" wrapText="1"/>
    </xf>
    <xf numFmtId="0" fontId="11" fillId="11" borderId="13" xfId="0" applyFont="1" applyFill="1" applyBorder="1" applyAlignment="1">
      <alignment horizontal="left" vertical="center" wrapText="1"/>
    </xf>
    <xf numFmtId="0" fontId="18" fillId="11" borderId="0" xfId="0" applyFont="1" applyFill="1" applyAlignment="1">
      <alignment horizontal="left" vertical="center"/>
    </xf>
    <xf numFmtId="0" fontId="11" fillId="11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8" fillId="6" borderId="7" xfId="4" applyFont="1" applyFill="1" applyBorder="1" applyAlignment="1">
      <alignment horizontal="center" vertical="center" wrapText="1"/>
    </xf>
    <xf numFmtId="0" fontId="18" fillId="6" borderId="7" xfId="1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8" fillId="0" borderId="0" xfId="1" quotePrefix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/>
    </xf>
    <xf numFmtId="0" fontId="11" fillId="0" borderId="12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 vertical="center"/>
    </xf>
    <xf numFmtId="0" fontId="11" fillId="0" borderId="7" xfId="0" applyFont="1" applyFill="1" applyBorder="1" applyAlignment="1">
      <alignment horizontal="center"/>
    </xf>
    <xf numFmtId="0" fontId="18" fillId="0" borderId="0" xfId="1" quotePrefix="1" applyFont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49" fontId="4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right" vertical="top" wrapText="1"/>
    </xf>
    <xf numFmtId="0" fontId="19" fillId="0" borderId="0" xfId="22" applyFont="1" applyFill="1" applyAlignment="1">
      <alignment vertical="center" wrapText="1"/>
    </xf>
    <xf numFmtId="49" fontId="11" fillId="0" borderId="0" xfId="1" applyNumberFormat="1" applyFont="1" applyAlignment="1">
      <alignment vertical="center" wrapText="1"/>
    </xf>
    <xf numFmtId="0" fontId="18" fillId="0" borderId="0" xfId="22" applyFont="1" applyAlignment="1"/>
    <xf numFmtId="0" fontId="18" fillId="0" borderId="0" xfId="22" applyFont="1" applyBorder="1" applyAlignment="1">
      <alignment horizontal="center" vertical="center"/>
    </xf>
    <xf numFmtId="0" fontId="11" fillId="0" borderId="0" xfId="22" applyFont="1" applyBorder="1"/>
    <xf numFmtId="0" fontId="11" fillId="0" borderId="0" xfId="22" applyFont="1" applyFill="1" applyBorder="1" applyAlignment="1">
      <alignment horizontal="left" vertical="center" wrapText="1"/>
    </xf>
    <xf numFmtId="4" fontId="18" fillId="0" borderId="0" xfId="22" applyNumberFormat="1" applyFont="1" applyFill="1" applyBorder="1" applyAlignment="1">
      <alignment vertical="center" wrapText="1"/>
    </xf>
    <xf numFmtId="0" fontId="11" fillId="0" borderId="0" xfId="22" applyFont="1" applyFill="1" applyBorder="1"/>
    <xf numFmtId="0" fontId="19" fillId="0" borderId="0" xfId="22" applyFont="1" applyFill="1" applyBorder="1" applyAlignment="1">
      <alignment horizontal="left" vertical="center" wrapText="1"/>
    </xf>
    <xf numFmtId="49" fontId="11" fillId="0" borderId="0" xfId="22" applyNumberFormat="1" applyFont="1" applyBorder="1"/>
    <xf numFmtId="49" fontId="20" fillId="0" borderId="0" xfId="22" applyNumberFormat="1" applyFont="1" applyBorder="1"/>
    <xf numFmtId="0" fontId="20" fillId="0" borderId="0" xfId="22" applyFont="1" applyBorder="1"/>
    <xf numFmtId="49" fontId="11" fillId="0" borderId="0" xfId="1" applyNumberFormat="1" applyFont="1" applyBorder="1" applyAlignment="1">
      <alignment horizontal="center" vertical="center" wrapText="1"/>
    </xf>
    <xf numFmtId="49" fontId="11" fillId="0" borderId="0" xfId="1" applyNumberFormat="1" applyFont="1" applyBorder="1" applyAlignment="1">
      <alignment vertical="center"/>
    </xf>
    <xf numFmtId="49" fontId="11" fillId="0" borderId="0" xfId="1" applyNumberFormat="1" applyFont="1" applyBorder="1"/>
    <xf numFmtId="0" fontId="11" fillId="0" borderId="0" xfId="1" applyFont="1" applyBorder="1"/>
    <xf numFmtId="0" fontId="55" fillId="0" borderId="0" xfId="22" applyFont="1" applyBorder="1" applyAlignment="1">
      <alignment horizontal="center"/>
    </xf>
    <xf numFmtId="0" fontId="27" fillId="0" borderId="0" xfId="22" applyFont="1" applyBorder="1"/>
    <xf numFmtId="0" fontId="27" fillId="0" borderId="0" xfId="22" applyBorder="1"/>
  </cellXfs>
  <cellStyles count="34">
    <cellStyle name="Excel Built-in Normal" xfId="5"/>
    <cellStyle name="S0" xfId="6"/>
    <cellStyle name="S1" xfId="7"/>
    <cellStyle name="S10" xfId="8"/>
    <cellStyle name="S11" xfId="9"/>
    <cellStyle name="S2" xfId="10"/>
    <cellStyle name="S3" xfId="11"/>
    <cellStyle name="S5" xfId="12"/>
    <cellStyle name="S6" xfId="13"/>
    <cellStyle name="S7" xfId="14"/>
    <cellStyle name="S8" xfId="15"/>
    <cellStyle name="S9" xfId="16"/>
    <cellStyle name="Нейтральный" xfId="3" builtinId="28"/>
    <cellStyle name="Обычный" xfId="0" builtinId="0"/>
    <cellStyle name="Обычный 2" xfId="17"/>
    <cellStyle name="Обычный 2 2" xfId="18"/>
    <cellStyle name="Обычный 2 3" xfId="19"/>
    <cellStyle name="Обычный 3" xfId="1"/>
    <cellStyle name="Обычный 3 2" xfId="20"/>
    <cellStyle name="Обычный 3 2 2" xfId="31"/>
    <cellStyle name="Обычный 3 3" xfId="4"/>
    <cellStyle name="Обычный 4" xfId="21"/>
    <cellStyle name="Обычный 5" xfId="22"/>
    <cellStyle name="Обычный 6" xfId="23"/>
    <cellStyle name="Обычный 7" xfId="24"/>
    <cellStyle name="Обычный 8" xfId="25"/>
    <cellStyle name="Обычный 9" xfId="30"/>
    <cellStyle name="Плохой" xfId="32" builtinId="27"/>
    <cellStyle name="Процентный" xfId="29" builtinId="5"/>
    <cellStyle name="Финансовый" xfId="2" builtinId="3"/>
    <cellStyle name="Финансовый 2" xfId="26"/>
    <cellStyle name="Финансовый 2 2" xfId="27"/>
    <cellStyle name="Финансовый 2 3 2" xfId="33"/>
    <cellStyle name="Финансовый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jbelaev/Yandex.Disk.localized/&#1052;&#1072;&#1084;&#1080;&#1089;&#1086;&#1085;/&#1054;&#1090;&#1088;&#1072;&#1073;&#1086;&#1090;&#1082;&#1072;%20&#1043;&#1043;&#1069;/&#1057;&#1086;&#1073;&#1088;&#1072;&#1085;&#1085;&#1099;&#1077;%20&#1090;&#1086;&#1084;&#1072;/&#1055;&#1072;&#1087;&#1082;&#1072;%20&#1076;&#1083;&#1103;%20&#1087;&#1086;&#1083;&#1100;&#1079;&#1086;&#1074;&#1072;&#1090;&#1077;&#1083;&#1100;&#1089;&#1082;&#1086;&#1081;%20&#1080;&#1085;&#1092;&#1086;&#1088;&#1084;&#1072;&#1094;&#1080;&#1080;/&#1052;&#1072;&#1084;&#1080;&#1089;&#1086;&#1085;/&#1057;&#1084;&#1077;&#1090;&#1099;%20&#1055;&#1048;&#1056;/&#1057;&#1074;&#1086;&#1076;&#1085;&#1072;&#1103;%20&#1089;&#1084;&#1077;&#1090;&#1072;%20&#1055;&#1048;&#1056;%20&#1052;&#1040;&#1052;&#1048;&#1057;&#1054;&#1053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jbelaev/Yandex.Disk.localized/&#1052;&#1072;&#1084;&#1080;&#1089;&#1086;&#1085;/&#1054;&#1090;&#1088;&#1072;&#1073;&#1086;&#1090;&#1082;&#1072;%20&#1043;&#1043;&#1069;/&#1057;&#1086;&#1073;&#1088;&#1072;&#1085;&#1085;&#1099;&#1077;%20&#1090;&#1086;&#1084;&#1072;/tmpfs/docviewer2997485096114680207.tmp/133/&#1057;&#1074;&#1086;&#1076;%20&#1055;&#1048;&#1056;%201%20&#1082;&#1086;&#1088;&#1088;&#1077;&#1082;&#1090;%2016.03.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9;&#1086;&#1093;&#1088;&#1072;&#1085;&#1080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jbelaev/Yandex.Disk.localized/&#1052;&#1072;&#1084;&#1080;&#1089;&#1086;&#1085;/&#1054;&#1090;&#1088;&#1072;&#1073;&#1086;&#1090;&#1082;&#1072;%20&#1043;&#1043;&#1069;/&#1057;&#1086;&#1073;&#1088;&#1072;&#1085;&#1085;&#1099;&#1077;%20&#1090;&#1086;&#1084;&#1072;/tmpfs/docviewer2997485096114680207.tmp/133/09-04-01%20&#1101;&#1082;&#1089;&#1087;&#1083;&#1091;&#1072;&#1090;&#1072;&#1094;.%20&#1084;&#1086;&#1081;&#1082;&#1080;%20&#1082;&#1086;&#1083;&#1105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192.168.0.252/f/DOCUME~1/Admin/LOCALS~1/Temp/&#1059;&#1095;&#1080;&#1083;&#1080;&#1097;&#1072;%20&#1089;%20&#1060;&#1050;&#1055;/&#1069;&#1090;&#1072;&#1083;&#1086;&#1085;&#1085;&#1072;&#1103;/103-&#1055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Ntserver/COPU/&#1052;&#1086;&#1080;%20&#1076;&#1086;&#1082;&#1091;&#1084;&#1077;&#1085;&#1090;&#1099;%20898/&#1051;&#1086;&#1087;&#1072;&#1090;&#1082;&#1080;&#1085;/&#1057;&#1077;&#1088;&#1074;&#1077;&#1088;/&#1053;&#1072;&#1083;&#1080;&#1095;&#1080;&#1077;%20&#1072;&#1074;&#1090;&#1086;&#1090;&#1088;&#1072;&#1085;&#1089;&#1087;&#1086;&#1088;&#1090;&#1072;%20&#1087;&#1086;%20&#1060;&#1062;&#1055;/&#1057;&#1074;&#1086;&#1076;&#1085;&#1072;&#1103;%20&#1086;&#1090;&#1095;&#1077;&#1090;&#1099;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4.%20&#1052;&#1072;&#1084;&#1080;&#1089;&#1086;&#1085;/&#1050;&#1044;%20&#1052;1%20&#1080;%20&#1052;2%20(&#1056;&#1044;+&#1089;&#1090;&#1088;&#1086;&#1081;&#1082;&#1072;)/&#1056;&#1072;&#1079;&#1076;&#1077;&#1083;%20&#1055;&#1044;&#8470;9%20&#1087;&#1086;&#1076;&#1088;&#1072;&#1079;&#1076;&#1077;&#1083;%201_1909-&#1057;&#1052;1_&#1048;&#1047;&#1052;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56;&#1048;/&#1044;&#1056;&#1048;/5.%20&#1056;&#1072;&#1073;&#1086;&#1095;&#1080;&#1077;%20&#1087;&#1072;&#1087;&#1082;&#1080;%20&#1089;&#1086;&#1090;&#1088;&#1091;&#1076;&#1085;&#1080;&#1082;&#1086;&#1074;/1.%20&#1054;&#1060;&#1048;&#1057;%20&#1052;&#1054;&#1057;&#1050;&#1042;&#1040;/&#1054;&#1060;&#1069;&#1054;/&#1053;&#1052;&#1062;/&#1069;&#1051;&#1068;&#1041;&#1056;&#1059;&#1057;/EL3/&#1053;&#1052;&#1062;&#1050;%20EL3%20&#1073;&#1077;&#1079;%20&#1086;&#1073;&#1086;&#1088;&#1091;&#1076;&#1086;&#1074;&#1072;&#1085;&#1080;&#1103;%20&#1055;&#1055;&#1050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смета ПИР МАМИСОН (2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-04-01 эксплуатац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"/>
      <sheetName val="ПЗ"/>
      <sheetName val="Сводный сметный расчет"/>
      <sheetName val="Сводка затрат"/>
      <sheetName val="Лист1"/>
      <sheetName val="Лист2"/>
      <sheetName val="01-04-01"/>
      <sheetName val="01-05-01"/>
      <sheetName val="09-04-01"/>
      <sheetName val="09-05-01"/>
      <sheetName val="09-06"/>
      <sheetName val="09-06-01"/>
      <sheetName val="09-06-02"/>
      <sheetName val="09-06-03"/>
      <sheetName val="Вахта"/>
      <sheetName val="Ст. А-Б"/>
      <sheetName val="09-08-01"/>
      <sheetName val="09-09-01"/>
      <sheetName val="Стоимость летных часов"/>
      <sheetName val="09-10-01"/>
      <sheetName val="09-12-01"/>
      <sheetName val="09-14-01"/>
      <sheetName val="12-03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>
            <v>10.64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ПР"/>
      <sheetName val="ПЗ"/>
      <sheetName val="НМЦ"/>
      <sheetName val="Протокол НМЦК"/>
      <sheetName val="Проект сметы контракта"/>
      <sheetName val="Ведомость объемов"/>
      <sheetName val="Дефляторы"/>
      <sheetName val="НМЦК"/>
      <sheetName val="Затраты подрядчика"/>
      <sheetName val="ССР EL3"/>
      <sheetName val="Дефляторы (черновик)"/>
      <sheetName val="Ведомость объемов черновик"/>
      <sheetName val="Ведомость объемов (по сметам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3">
          <cell r="M123">
            <v>115882160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B11" sqref="B11"/>
    </sheetView>
  </sheetViews>
  <sheetFormatPr defaultRowHeight="15" x14ac:dyDescent="0.25"/>
  <cols>
    <col min="1" max="1" width="8.5703125" style="559" customWidth="1"/>
    <col min="2" max="2" width="55" style="559" customWidth="1"/>
    <col min="3" max="4" width="20.7109375" style="559" customWidth="1"/>
    <col min="5" max="5" width="9.140625" style="559"/>
    <col min="6" max="6" width="11.5703125" style="559" bestFit="1" customWidth="1"/>
    <col min="7" max="16384" width="9.140625" style="559"/>
  </cols>
  <sheetData>
    <row r="1" spans="1:4" ht="15.75" x14ac:dyDescent="0.25">
      <c r="A1" s="580"/>
      <c r="B1" s="580"/>
      <c r="C1" s="580"/>
      <c r="D1" s="580"/>
    </row>
    <row r="2" spans="1:4" ht="18.75" customHeight="1" x14ac:dyDescent="0.25">
      <c r="A2" s="580" t="s">
        <v>1224</v>
      </c>
      <c r="B2" s="580"/>
      <c r="C2" s="580"/>
      <c r="D2" s="580"/>
    </row>
    <row r="3" spans="1:4" ht="40.5" customHeight="1" x14ac:dyDescent="0.25">
      <c r="A3" s="581" t="s">
        <v>1225</v>
      </c>
      <c r="B3" s="581"/>
      <c r="C3" s="581"/>
      <c r="D3" s="581"/>
    </row>
    <row r="4" spans="1:4" ht="15" customHeight="1" x14ac:dyDescent="0.25">
      <c r="A4" s="582" t="s">
        <v>1226</v>
      </c>
      <c r="B4" s="582" t="s">
        <v>1227</v>
      </c>
      <c r="C4" s="583" t="s">
        <v>1216</v>
      </c>
      <c r="D4" s="584"/>
    </row>
    <row r="5" spans="1:4" ht="15" customHeight="1" x14ac:dyDescent="0.25">
      <c r="A5" s="582"/>
      <c r="B5" s="582"/>
      <c r="C5" s="585"/>
      <c r="D5" s="586"/>
    </row>
    <row r="6" spans="1:4" ht="15.75" x14ac:dyDescent="0.25">
      <c r="A6" s="582"/>
      <c r="B6" s="582"/>
      <c r="C6" s="560" t="s">
        <v>1217</v>
      </c>
      <c r="D6" s="560" t="s">
        <v>1218</v>
      </c>
    </row>
    <row r="7" spans="1:4" ht="15.75" x14ac:dyDescent="0.25">
      <c r="A7" s="561">
        <v>1</v>
      </c>
      <c r="B7" s="561">
        <v>2</v>
      </c>
      <c r="C7" s="561">
        <v>3</v>
      </c>
      <c r="D7" s="561">
        <v>4</v>
      </c>
    </row>
    <row r="8" spans="1:4" ht="39.950000000000003" customHeight="1" x14ac:dyDescent="0.25">
      <c r="A8" s="562">
        <v>1</v>
      </c>
      <c r="B8" s="563" t="s">
        <v>1228</v>
      </c>
      <c r="C8" s="564" t="s">
        <v>1219</v>
      </c>
      <c r="D8" s="564">
        <v>44804</v>
      </c>
    </row>
    <row r="9" spans="1:4" ht="93.75" customHeight="1" x14ac:dyDescent="0.25">
      <c r="A9" s="565">
        <v>2</v>
      </c>
      <c r="B9" s="566" t="s">
        <v>1229</v>
      </c>
      <c r="C9" s="564">
        <v>44682</v>
      </c>
      <c r="D9" s="564">
        <v>45231</v>
      </c>
    </row>
    <row r="10" spans="1:4" ht="15.75" x14ac:dyDescent="0.25">
      <c r="A10" s="567"/>
      <c r="B10" s="567"/>
      <c r="C10" s="567"/>
      <c r="D10" s="567"/>
    </row>
    <row r="11" spans="1:4" ht="15.75" x14ac:dyDescent="0.25">
      <c r="A11" s="567"/>
      <c r="B11" s="567" t="s">
        <v>1230</v>
      </c>
      <c r="C11" s="567"/>
      <c r="D11" s="567"/>
    </row>
    <row r="12" spans="1:4" ht="15.75" x14ac:dyDescent="0.25">
      <c r="A12" s="567"/>
      <c r="B12" s="567"/>
      <c r="C12" s="567"/>
      <c r="D12" s="567"/>
    </row>
    <row r="13" spans="1:4" ht="15.75" x14ac:dyDescent="0.25">
      <c r="A13" s="567"/>
      <c r="B13" s="567"/>
      <c r="C13" s="567"/>
      <c r="D13" s="567"/>
    </row>
    <row r="14" spans="1:4" ht="15.75" x14ac:dyDescent="0.25">
      <c r="A14" s="567"/>
      <c r="B14" s="567"/>
      <c r="C14" s="567"/>
      <c r="D14" s="567"/>
    </row>
    <row r="15" spans="1:4" ht="15.75" x14ac:dyDescent="0.25">
      <c r="A15" s="567"/>
      <c r="B15" s="567"/>
      <c r="C15" s="567"/>
      <c r="D15" s="567"/>
    </row>
    <row r="16" spans="1:4" ht="15.75" x14ac:dyDescent="0.25">
      <c r="A16" s="567"/>
      <c r="B16" s="567"/>
      <c r="C16" s="567"/>
      <c r="D16" s="567"/>
    </row>
    <row r="17" spans="1:4" ht="15.75" x14ac:dyDescent="0.25">
      <c r="A17" s="567"/>
      <c r="B17" s="567"/>
      <c r="C17" s="567"/>
      <c r="D17" s="567"/>
    </row>
    <row r="18" spans="1:4" ht="15.75" x14ac:dyDescent="0.25">
      <c r="A18" s="567"/>
      <c r="B18" s="567"/>
      <c r="C18" s="567"/>
      <c r="D18" s="567"/>
    </row>
    <row r="19" spans="1:4" ht="15.75" x14ac:dyDescent="0.25">
      <c r="A19" s="567"/>
      <c r="B19" s="567"/>
      <c r="C19" s="567"/>
      <c r="D19" s="567"/>
    </row>
    <row r="20" spans="1:4" ht="15.75" x14ac:dyDescent="0.25">
      <c r="A20" s="567"/>
      <c r="B20" s="567"/>
      <c r="C20" s="567"/>
      <c r="D20" s="567"/>
    </row>
    <row r="21" spans="1:4" ht="15.75" x14ac:dyDescent="0.25">
      <c r="A21" s="567"/>
      <c r="B21" s="567"/>
      <c r="C21" s="567"/>
      <c r="D21" s="567"/>
    </row>
    <row r="22" spans="1:4" ht="15.75" x14ac:dyDescent="0.25">
      <c r="A22" s="567"/>
      <c r="B22" s="567"/>
      <c r="C22" s="567"/>
      <c r="D22" s="567"/>
    </row>
    <row r="23" spans="1:4" ht="15.75" x14ac:dyDescent="0.25">
      <c r="A23" s="567"/>
      <c r="B23" s="567"/>
      <c r="C23" s="567"/>
      <c r="D23" s="567"/>
    </row>
    <row r="24" spans="1:4" ht="15.75" x14ac:dyDescent="0.25">
      <c r="A24" s="567"/>
      <c r="B24" s="567"/>
      <c r="C24" s="567"/>
      <c r="D24" s="567"/>
    </row>
    <row r="25" spans="1:4" ht="15.75" x14ac:dyDescent="0.25">
      <c r="A25" s="567"/>
      <c r="B25" s="567"/>
      <c r="C25" s="567"/>
      <c r="D25" s="567"/>
    </row>
    <row r="26" spans="1:4" ht="15.75" x14ac:dyDescent="0.25">
      <c r="A26" s="567"/>
      <c r="B26" s="567"/>
      <c r="C26" s="567"/>
      <c r="D26" s="567"/>
    </row>
    <row r="27" spans="1:4" ht="15.75" x14ac:dyDescent="0.25">
      <c r="A27" s="567"/>
      <c r="B27" s="567"/>
      <c r="C27" s="567"/>
      <c r="D27" s="567"/>
    </row>
    <row r="28" spans="1:4" ht="15.75" x14ac:dyDescent="0.25">
      <c r="A28" s="567"/>
      <c r="B28" s="567"/>
      <c r="C28" s="567"/>
      <c r="D28" s="567"/>
    </row>
    <row r="29" spans="1:4" ht="15.75" x14ac:dyDescent="0.25">
      <c r="A29" s="567"/>
      <c r="B29" s="567"/>
      <c r="C29" s="567"/>
      <c r="D29" s="567"/>
    </row>
    <row r="30" spans="1:4" ht="15.75" x14ac:dyDescent="0.25">
      <c r="A30" s="567"/>
      <c r="B30" s="567"/>
      <c r="C30" s="567"/>
      <c r="D30" s="567"/>
    </row>
    <row r="31" spans="1:4" ht="15.75" x14ac:dyDescent="0.25">
      <c r="A31" s="567"/>
      <c r="B31" s="567"/>
      <c r="C31" s="567"/>
      <c r="D31" s="567"/>
    </row>
    <row r="32" spans="1:4" ht="15.75" x14ac:dyDescent="0.25">
      <c r="A32" s="567"/>
      <c r="B32" s="567"/>
      <c r="C32" s="567"/>
      <c r="D32" s="567"/>
    </row>
  </sheetData>
  <mergeCells count="6">
    <mergeCell ref="A1:D1"/>
    <mergeCell ref="A2:D2"/>
    <mergeCell ref="A3:D3"/>
    <mergeCell ref="A4:A6"/>
    <mergeCell ref="B4:B6"/>
    <mergeCell ref="C4:D5"/>
  </mergeCells>
  <pageMargins left="0.7" right="0.7" top="0.75" bottom="0.75" header="0.3" footer="0.3"/>
  <pageSetup paperSize="9" scale="85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I36" sqref="I36"/>
    </sheetView>
  </sheetViews>
  <sheetFormatPr defaultRowHeight="12.75" x14ac:dyDescent="0.2"/>
  <cols>
    <col min="1" max="1" width="12.140625" customWidth="1"/>
    <col min="2" max="2" width="14.42578125" customWidth="1"/>
    <col min="3" max="3" width="32.85546875" customWidth="1"/>
  </cols>
  <sheetData>
    <row r="1" spans="1:3" x14ac:dyDescent="0.2">
      <c r="A1" s="710" t="s">
        <v>763</v>
      </c>
      <c r="B1" s="710"/>
      <c r="C1" s="710"/>
    </row>
    <row r="3" spans="1:3" ht="38.25" x14ac:dyDescent="0.2">
      <c r="A3" s="225" t="s">
        <v>764</v>
      </c>
      <c r="B3" s="225" t="s">
        <v>805</v>
      </c>
      <c r="C3" s="226" t="s">
        <v>765</v>
      </c>
    </row>
    <row r="4" spans="1:3" x14ac:dyDescent="0.2">
      <c r="A4" s="177" t="s">
        <v>784</v>
      </c>
      <c r="B4" s="227">
        <v>412.93</v>
      </c>
      <c r="C4" s="177" t="s">
        <v>766</v>
      </c>
    </row>
    <row r="5" spans="1:3" x14ac:dyDescent="0.2">
      <c r="A5" s="177" t="s">
        <v>785</v>
      </c>
      <c r="B5" s="227">
        <v>243.84</v>
      </c>
      <c r="C5" s="177" t="s">
        <v>766</v>
      </c>
    </row>
    <row r="6" spans="1:3" x14ac:dyDescent="0.2">
      <c r="A6" s="177" t="s">
        <v>786</v>
      </c>
      <c r="B6" s="227">
        <v>420.35</v>
      </c>
      <c r="C6" s="177" t="s">
        <v>766</v>
      </c>
    </row>
    <row r="7" spans="1:3" x14ac:dyDescent="0.2">
      <c r="A7" s="177" t="s">
        <v>787</v>
      </c>
      <c r="B7" s="227">
        <v>2170</v>
      </c>
      <c r="C7" s="177" t="s">
        <v>767</v>
      </c>
    </row>
    <row r="8" spans="1:3" x14ac:dyDescent="0.2">
      <c r="A8" s="177" t="s">
        <v>788</v>
      </c>
      <c r="B8" s="227">
        <v>1282.98</v>
      </c>
      <c r="C8" s="177" t="s">
        <v>768</v>
      </c>
    </row>
    <row r="9" spans="1:3" x14ac:dyDescent="0.2">
      <c r="A9" s="177" t="s">
        <v>789</v>
      </c>
      <c r="B9" s="227">
        <v>3397.73</v>
      </c>
      <c r="C9" s="177" t="s">
        <v>769</v>
      </c>
    </row>
    <row r="10" spans="1:3" x14ac:dyDescent="0.2">
      <c r="A10" s="177" t="s">
        <v>790</v>
      </c>
      <c r="B10" s="227">
        <v>789.29</v>
      </c>
      <c r="C10" s="177" t="s">
        <v>770</v>
      </c>
    </row>
    <row r="11" spans="1:3" x14ac:dyDescent="0.2">
      <c r="A11" s="177" t="s">
        <v>791</v>
      </c>
      <c r="B11" s="227">
        <v>638.64</v>
      </c>
      <c r="C11" s="177" t="s">
        <v>771</v>
      </c>
    </row>
    <row r="12" spans="1:3" x14ac:dyDescent="0.2">
      <c r="A12" s="177" t="s">
        <v>792</v>
      </c>
      <c r="B12" s="227">
        <v>442.13</v>
      </c>
      <c r="C12" s="177" t="s">
        <v>772</v>
      </c>
    </row>
    <row r="13" spans="1:3" x14ac:dyDescent="0.2">
      <c r="A13" s="177" t="s">
        <v>793</v>
      </c>
      <c r="B13" s="227">
        <v>323.64999999999998</v>
      </c>
      <c r="C13" s="177" t="s">
        <v>773</v>
      </c>
    </row>
    <row r="14" spans="1:3" x14ac:dyDescent="0.2">
      <c r="A14" s="177" t="s">
        <v>794</v>
      </c>
      <c r="B14" s="227">
        <v>422.56</v>
      </c>
      <c r="C14" s="177" t="s">
        <v>774</v>
      </c>
    </row>
    <row r="15" spans="1:3" x14ac:dyDescent="0.2">
      <c r="A15" s="177" t="s">
        <v>795</v>
      </c>
      <c r="B15" s="227">
        <v>594.69000000000005</v>
      </c>
      <c r="C15" s="177" t="s">
        <v>775</v>
      </c>
    </row>
    <row r="16" spans="1:3" x14ac:dyDescent="0.2">
      <c r="A16" s="177" t="s">
        <v>796</v>
      </c>
      <c r="B16" s="227">
        <v>83.1</v>
      </c>
      <c r="C16" s="177" t="s">
        <v>776</v>
      </c>
    </row>
    <row r="17" spans="1:3" x14ac:dyDescent="0.2">
      <c r="A17" s="177" t="s">
        <v>797</v>
      </c>
      <c r="B17" s="227">
        <v>347.18</v>
      </c>
      <c r="C17" s="177" t="s">
        <v>777</v>
      </c>
    </row>
    <row r="18" spans="1:3" x14ac:dyDescent="0.2">
      <c r="A18" s="177" t="s">
        <v>798</v>
      </c>
      <c r="B18" s="227">
        <v>3388.46</v>
      </c>
      <c r="C18" s="177" t="s">
        <v>778</v>
      </c>
    </row>
    <row r="19" spans="1:3" x14ac:dyDescent="0.2">
      <c r="A19" s="177" t="s">
        <v>799</v>
      </c>
      <c r="B19" s="227">
        <v>310.20999999999998</v>
      </c>
      <c r="C19" s="177" t="s">
        <v>779</v>
      </c>
    </row>
    <row r="20" spans="1:3" x14ac:dyDescent="0.2">
      <c r="A20" s="177" t="s">
        <v>800</v>
      </c>
      <c r="B20" s="227">
        <v>280.87</v>
      </c>
      <c r="C20" s="177" t="s">
        <v>780</v>
      </c>
    </row>
    <row r="21" spans="1:3" x14ac:dyDescent="0.2">
      <c r="A21" s="177" t="s">
        <v>801</v>
      </c>
      <c r="B21" s="227">
        <v>447.55</v>
      </c>
      <c r="C21" s="177" t="s">
        <v>781</v>
      </c>
    </row>
    <row r="22" spans="1:3" x14ac:dyDescent="0.2">
      <c r="A22" s="177" t="s">
        <v>802</v>
      </c>
      <c r="B22" s="227">
        <v>480.25</v>
      </c>
      <c r="C22" s="177" t="s">
        <v>782</v>
      </c>
    </row>
    <row r="23" spans="1:3" x14ac:dyDescent="0.2">
      <c r="A23" s="177" t="s">
        <v>803</v>
      </c>
      <c r="B23" s="227">
        <v>1393.28</v>
      </c>
      <c r="C23" s="177" t="s">
        <v>783</v>
      </c>
    </row>
    <row r="24" spans="1:3" x14ac:dyDescent="0.2">
      <c r="A24" s="177" t="s">
        <v>804</v>
      </c>
      <c r="B24" s="228">
        <f>SUM(B4:B23)</f>
        <v>17869.689999999999</v>
      </c>
      <c r="C24" s="177"/>
    </row>
    <row r="25" spans="1:3" x14ac:dyDescent="0.2">
      <c r="A25" s="229" t="s">
        <v>762</v>
      </c>
      <c r="B25" s="224">
        <f>B4+B5+B6</f>
        <v>1077.1199999999999</v>
      </c>
      <c r="C25" s="177" t="s">
        <v>766</v>
      </c>
    </row>
    <row r="26" spans="1:3" x14ac:dyDescent="0.2">
      <c r="B26" s="224">
        <f>B7</f>
        <v>2170</v>
      </c>
      <c r="C26" s="177" t="s">
        <v>767</v>
      </c>
    </row>
    <row r="27" spans="1:3" x14ac:dyDescent="0.2">
      <c r="B27" s="224">
        <f>B8</f>
        <v>1282.98</v>
      </c>
      <c r="C27" s="177" t="s">
        <v>768</v>
      </c>
    </row>
    <row r="28" spans="1:3" x14ac:dyDescent="0.2">
      <c r="B28" s="224">
        <f>B9+B10+B11+B12+B13+B14+B15+B16+B17</f>
        <v>7038.97</v>
      </c>
      <c r="C28" s="177" t="s">
        <v>811</v>
      </c>
    </row>
    <row r="29" spans="1:3" x14ac:dyDescent="0.2">
      <c r="B29" s="224">
        <f>B18+B19+B20+B21+B22+B23</f>
        <v>6300.62</v>
      </c>
      <c r="C29" s="177" t="s">
        <v>812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E420"/>
  <sheetViews>
    <sheetView showGridLines="0" topLeftCell="A335" zoomScale="85" zoomScaleNormal="85" workbookViewId="0">
      <selection activeCell="N420" sqref="N420"/>
    </sheetView>
  </sheetViews>
  <sheetFormatPr defaultColWidth="8.85546875" defaultRowHeight="12.75" outlineLevelRow="2" x14ac:dyDescent="0.2"/>
  <cols>
    <col min="1" max="1" width="7.42578125" style="11" customWidth="1"/>
    <col min="2" max="2" width="13.85546875" style="1" customWidth="1"/>
    <col min="3" max="3" width="36.7109375" style="1" customWidth="1"/>
    <col min="4" max="4" width="13.140625" style="10" customWidth="1"/>
    <col min="5" max="5" width="13" style="10" customWidth="1"/>
    <col min="6" max="6" width="13.28515625" style="10" customWidth="1"/>
    <col min="7" max="7" width="12.42578125" style="10" customWidth="1"/>
    <col min="8" max="8" width="13.85546875" style="10" customWidth="1"/>
    <col min="9" max="9" width="15.42578125" style="10" hidden="1" customWidth="1"/>
    <col min="10" max="10" width="10.85546875" style="2" hidden="1" customWidth="1"/>
    <col min="11" max="11" width="16.7109375" style="65" customWidth="1"/>
    <col min="12" max="12" width="17.42578125" style="65" customWidth="1"/>
    <col min="13" max="13" width="19" style="65" customWidth="1"/>
    <col min="14" max="14" width="16.7109375" style="65" customWidth="1"/>
    <col min="15" max="15" width="20.42578125" style="66" customWidth="1"/>
    <col min="16" max="16" width="13.85546875" style="4" customWidth="1"/>
    <col min="17" max="239" width="9.140625" style="4" customWidth="1"/>
    <col min="240" max="1007" width="9.140625" customWidth="1"/>
  </cols>
  <sheetData>
    <row r="1" spans="1:239" s="2" customFormat="1" x14ac:dyDescent="0.2">
      <c r="A1" s="11"/>
      <c r="B1" s="1"/>
      <c r="C1" s="1"/>
      <c r="H1" s="3" t="s">
        <v>0</v>
      </c>
      <c r="I1" s="3"/>
      <c r="K1" s="65"/>
      <c r="L1" s="65"/>
      <c r="M1" s="65"/>
      <c r="N1" s="65"/>
      <c r="O1" s="6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</row>
    <row r="2" spans="1:239" s="2" customFormat="1" ht="12.75" customHeight="1" x14ac:dyDescent="0.2">
      <c r="A2" s="11"/>
      <c r="B2" s="1" t="s">
        <v>1</v>
      </c>
      <c r="C2" s="675" t="s">
        <v>2</v>
      </c>
      <c r="D2" s="675"/>
      <c r="E2" s="675"/>
      <c r="F2" s="675"/>
      <c r="G2" s="675"/>
      <c r="K2" s="65"/>
      <c r="L2" s="65"/>
      <c r="M2" s="65"/>
      <c r="N2" s="65"/>
      <c r="O2" s="6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s="2" customFormat="1" x14ac:dyDescent="0.2">
      <c r="A3" s="11"/>
      <c r="B3" s="1"/>
      <c r="C3" s="5"/>
      <c r="D3" s="6" t="s">
        <v>3</v>
      </c>
      <c r="E3" s="7"/>
      <c r="F3" s="8"/>
      <c r="G3" s="8"/>
      <c r="K3" s="65"/>
      <c r="L3" s="65"/>
      <c r="M3" s="65"/>
      <c r="N3" s="65"/>
      <c r="O3" s="6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s="2" customFormat="1" x14ac:dyDescent="0.2">
      <c r="A4" s="11"/>
      <c r="B4" s="1" t="s">
        <v>4</v>
      </c>
      <c r="C4" s="1"/>
      <c r="E4" s="9"/>
      <c r="K4" s="65"/>
      <c r="L4" s="65"/>
      <c r="M4" s="65"/>
      <c r="N4" s="65"/>
      <c r="O4" s="6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s="2" customFormat="1" x14ac:dyDescent="0.2">
      <c r="A5" s="11"/>
      <c r="B5" s="1"/>
      <c r="C5" s="1"/>
      <c r="E5" s="9"/>
      <c r="K5" s="65"/>
      <c r="L5" s="65"/>
      <c r="M5" s="65"/>
      <c r="N5" s="65"/>
      <c r="O5" s="6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s="2" customFormat="1" x14ac:dyDescent="0.2">
      <c r="A6" s="11"/>
      <c r="B6" s="1" t="s">
        <v>5</v>
      </c>
      <c r="C6" s="1"/>
      <c r="E6" s="9"/>
      <c r="K6" s="65"/>
      <c r="L6" s="65"/>
      <c r="M6" s="65"/>
      <c r="N6" s="65"/>
      <c r="O6" s="6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s="2" customFormat="1" x14ac:dyDescent="0.2">
      <c r="A7" s="11"/>
      <c r="B7" s="1" t="s">
        <v>6</v>
      </c>
      <c r="C7" s="1"/>
      <c r="K7" s="65"/>
      <c r="L7" s="65"/>
      <c r="M7" s="65"/>
      <c r="N7" s="65"/>
      <c r="O7" s="6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s="2" customFormat="1" x14ac:dyDescent="0.2">
      <c r="A8" s="11"/>
      <c r="B8" s="1"/>
      <c r="C8" s="1"/>
      <c r="K8" s="65"/>
      <c r="L8" s="65"/>
      <c r="M8" s="65"/>
      <c r="N8" s="65"/>
      <c r="O8" s="6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s="2" customFormat="1" x14ac:dyDescent="0.2">
      <c r="A9" s="11"/>
      <c r="B9" s="1" t="s">
        <v>7</v>
      </c>
      <c r="C9" s="1"/>
      <c r="K9" s="65"/>
      <c r="L9" s="65"/>
      <c r="M9" s="65"/>
      <c r="N9" s="65"/>
      <c r="O9" s="6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s="2" customFormat="1" x14ac:dyDescent="0.2">
      <c r="A10" s="11"/>
      <c r="B10" s="1" t="s">
        <v>8</v>
      </c>
      <c r="C10" s="1"/>
      <c r="K10" s="65"/>
      <c r="L10" s="65"/>
      <c r="M10" s="65"/>
      <c r="N10" s="65"/>
      <c r="O10" s="6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s="2" customFormat="1" x14ac:dyDescent="0.2">
      <c r="A11" s="11"/>
      <c r="B11" s="1"/>
      <c r="C11" s="1"/>
      <c r="K11" s="65"/>
      <c r="L11" s="65"/>
      <c r="M11" s="65"/>
      <c r="N11" s="65"/>
      <c r="O11" s="6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239" s="2" customFormat="1" x14ac:dyDescent="0.2">
      <c r="A12" s="11"/>
      <c r="B12" s="1"/>
      <c r="C12" s="1"/>
      <c r="K12" s="65"/>
      <c r="L12" s="65"/>
      <c r="M12" s="65"/>
      <c r="N12" s="65"/>
      <c r="O12" s="6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</row>
    <row r="13" spans="1:239" s="2" customFormat="1" x14ac:dyDescent="0.2">
      <c r="A13" s="11"/>
      <c r="B13" s="1"/>
      <c r="C13" s="1"/>
      <c r="K13" s="65"/>
      <c r="L13" s="65"/>
      <c r="M13" s="65"/>
      <c r="N13" s="65"/>
      <c r="O13" s="6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239" s="2" customFormat="1" x14ac:dyDescent="0.2">
      <c r="A14" s="11"/>
      <c r="B14" s="1"/>
      <c r="C14" s="676"/>
      <c r="D14" s="676"/>
      <c r="E14" s="676"/>
      <c r="F14" s="676"/>
      <c r="G14" s="676"/>
      <c r="K14" s="65"/>
      <c r="L14" s="65"/>
      <c r="M14" s="65"/>
      <c r="N14" s="65"/>
      <c r="O14" s="6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1:239" s="2" customFormat="1" x14ac:dyDescent="0.2">
      <c r="A15" s="11"/>
      <c r="B15" s="1"/>
      <c r="C15" s="1"/>
      <c r="D15" s="9" t="s">
        <v>9</v>
      </c>
      <c r="E15" s="10"/>
      <c r="K15" s="65"/>
      <c r="L15" s="65"/>
      <c r="M15" s="65"/>
      <c r="N15" s="65"/>
      <c r="O15" s="6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239" s="2" customFormat="1" x14ac:dyDescent="0.2">
      <c r="A16" s="11"/>
      <c r="B16" s="1"/>
      <c r="C16" s="1"/>
      <c r="E16" s="9"/>
      <c r="K16" s="65"/>
      <c r="L16" s="65"/>
      <c r="M16" s="65"/>
      <c r="N16" s="65"/>
      <c r="O16" s="6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</row>
    <row r="17" spans="1:15" s="4" customFormat="1" x14ac:dyDescent="0.2">
      <c r="A17" s="11"/>
      <c r="B17" s="1" t="s">
        <v>10</v>
      </c>
      <c r="C17" s="1"/>
      <c r="D17" s="10"/>
      <c r="E17" s="10"/>
      <c r="F17" s="10"/>
      <c r="G17" s="10"/>
      <c r="H17" s="2"/>
      <c r="I17" s="2"/>
      <c r="J17" s="2"/>
      <c r="K17" s="65"/>
      <c r="L17" s="65"/>
      <c r="M17" s="65"/>
      <c r="N17" s="65"/>
      <c r="O17" s="66"/>
    </row>
    <row r="18" spans="1:15" s="4" customFormat="1" x14ac:dyDescent="0.2">
      <c r="A18" s="11"/>
      <c r="B18" s="1"/>
      <c r="C18" s="1"/>
      <c r="D18" s="10"/>
      <c r="E18" s="10"/>
      <c r="F18" s="10"/>
      <c r="G18" s="2"/>
      <c r="H18" s="2"/>
      <c r="I18" s="2"/>
      <c r="J18" s="2"/>
      <c r="K18" s="65"/>
      <c r="L18" s="65"/>
      <c r="M18" s="65"/>
      <c r="N18" s="65"/>
      <c r="O18" s="66"/>
    </row>
    <row r="19" spans="1:15" s="4" customFormat="1" x14ac:dyDescent="0.2">
      <c r="A19" s="11"/>
      <c r="B19" s="1"/>
      <c r="C19" s="1"/>
      <c r="D19" s="12" t="s">
        <v>11</v>
      </c>
      <c r="E19" s="10"/>
      <c r="F19" s="2"/>
      <c r="G19" s="2"/>
      <c r="H19" s="2"/>
      <c r="I19" s="2"/>
      <c r="J19" s="2"/>
      <c r="K19" s="65"/>
      <c r="L19" s="65"/>
      <c r="M19" s="65"/>
      <c r="N19" s="65"/>
      <c r="O19" s="66"/>
    </row>
    <row r="20" spans="1:15" s="4" customFormat="1" x14ac:dyDescent="0.2">
      <c r="A20" s="11"/>
      <c r="B20" s="1"/>
      <c r="C20" s="1"/>
      <c r="D20" s="13"/>
      <c r="E20" s="10"/>
      <c r="F20" s="2"/>
      <c r="G20" s="2"/>
      <c r="H20" s="2"/>
      <c r="I20" s="2"/>
      <c r="J20" s="2"/>
      <c r="K20" s="65"/>
      <c r="L20" s="65"/>
      <c r="M20" s="65"/>
      <c r="N20" s="65"/>
      <c r="O20" s="66"/>
    </row>
    <row r="21" spans="1:15" s="4" customFormat="1" ht="27.95" customHeight="1" x14ac:dyDescent="0.2">
      <c r="A21" s="677" t="s">
        <v>12</v>
      </c>
      <c r="B21" s="677"/>
      <c r="C21" s="677"/>
      <c r="D21" s="677"/>
      <c r="E21" s="677"/>
      <c r="F21" s="677"/>
      <c r="G21" s="677"/>
      <c r="H21" s="677"/>
      <c r="I21" s="73"/>
      <c r="J21" s="2"/>
      <c r="K21" s="65"/>
      <c r="L21" s="65"/>
      <c r="M21" s="65"/>
      <c r="N21" s="65"/>
      <c r="O21" s="66"/>
    </row>
    <row r="22" spans="1:15" s="4" customFormat="1" x14ac:dyDescent="0.2">
      <c r="A22" s="11"/>
      <c r="B22" s="1"/>
      <c r="C22" s="1"/>
      <c r="D22" s="14" t="s">
        <v>13</v>
      </c>
      <c r="E22" s="10"/>
      <c r="F22" s="2"/>
      <c r="G22" s="2"/>
      <c r="H22" s="2"/>
      <c r="I22" s="2"/>
      <c r="J22" s="2"/>
      <c r="K22" s="65"/>
      <c r="L22" s="65"/>
      <c r="M22" s="65"/>
      <c r="N22" s="65"/>
      <c r="O22" s="66"/>
    </row>
    <row r="23" spans="1:15" s="4" customFormat="1" x14ac:dyDescent="0.2">
      <c r="A23" s="11"/>
      <c r="B23" s="1"/>
      <c r="C23" s="1"/>
      <c r="D23" s="10"/>
      <c r="E23" s="10"/>
      <c r="F23" s="10"/>
      <c r="G23" s="10"/>
      <c r="H23" s="2"/>
      <c r="I23" s="2"/>
      <c r="J23" s="2"/>
      <c r="K23" s="65"/>
      <c r="L23" s="65"/>
      <c r="M23" s="65"/>
      <c r="N23" s="65"/>
      <c r="O23" s="66"/>
    </row>
    <row r="24" spans="1:15" s="4" customFormat="1" ht="13.5" thickBot="1" x14ac:dyDescent="0.25">
      <c r="A24" s="11"/>
      <c r="B24" s="1" t="s">
        <v>14</v>
      </c>
      <c r="C24" s="1"/>
      <c r="D24" s="13"/>
      <c r="E24" s="2"/>
      <c r="F24" s="2"/>
      <c r="G24" s="2"/>
      <c r="H24" s="2"/>
      <c r="I24" s="2"/>
      <c r="J24" s="2"/>
      <c r="K24" s="65"/>
      <c r="L24" s="65"/>
      <c r="M24" s="65"/>
      <c r="N24" s="65"/>
      <c r="O24" s="66"/>
    </row>
    <row r="25" spans="1:15" s="4" customFormat="1" ht="12.75" customHeight="1" x14ac:dyDescent="0.2">
      <c r="A25" s="678" t="s">
        <v>15</v>
      </c>
      <c r="B25" s="680" t="s">
        <v>16</v>
      </c>
      <c r="C25" s="680" t="s">
        <v>17</v>
      </c>
      <c r="D25" s="682" t="s">
        <v>18</v>
      </c>
      <c r="E25" s="682"/>
      <c r="F25" s="682"/>
      <c r="G25" s="682"/>
      <c r="H25" s="683" t="s">
        <v>19</v>
      </c>
      <c r="I25" s="74"/>
      <c r="J25" s="554"/>
      <c r="K25" s="692" t="s">
        <v>579</v>
      </c>
      <c r="L25" s="693"/>
      <c r="M25" s="694"/>
      <c r="N25" s="694"/>
      <c r="O25" s="695"/>
    </row>
    <row r="26" spans="1:15" s="4" customFormat="1" ht="74.25" customHeight="1" x14ac:dyDescent="0.2">
      <c r="A26" s="679"/>
      <c r="B26" s="681"/>
      <c r="C26" s="681"/>
      <c r="D26" s="685" t="s">
        <v>20</v>
      </c>
      <c r="E26" s="685" t="s">
        <v>21</v>
      </c>
      <c r="F26" s="685" t="s">
        <v>22</v>
      </c>
      <c r="G26" s="685" t="s">
        <v>23</v>
      </c>
      <c r="H26" s="684"/>
      <c r="I26" s="74"/>
      <c r="J26" s="554"/>
      <c r="K26" s="696"/>
      <c r="L26" s="697"/>
      <c r="M26" s="697"/>
      <c r="N26" s="697"/>
      <c r="O26" s="698"/>
    </row>
    <row r="27" spans="1:15" s="4" customFormat="1" ht="15.75" customHeight="1" x14ac:dyDescent="0.2">
      <c r="A27" s="679"/>
      <c r="B27" s="681"/>
      <c r="C27" s="681"/>
      <c r="D27" s="685"/>
      <c r="E27" s="685"/>
      <c r="F27" s="685"/>
      <c r="G27" s="685"/>
      <c r="H27" s="684"/>
      <c r="I27" s="74"/>
      <c r="J27" s="554"/>
      <c r="K27" s="699" t="s">
        <v>20</v>
      </c>
      <c r="L27" s="699" t="s">
        <v>21</v>
      </c>
      <c r="M27" s="700" t="s">
        <v>132</v>
      </c>
      <c r="N27" s="700" t="s">
        <v>194</v>
      </c>
      <c r="O27" s="701" t="s">
        <v>195</v>
      </c>
    </row>
    <row r="28" spans="1:15" s="4" customFormat="1" ht="36" customHeight="1" x14ac:dyDescent="0.2">
      <c r="A28" s="679"/>
      <c r="B28" s="681"/>
      <c r="C28" s="681"/>
      <c r="D28" s="685"/>
      <c r="E28" s="685"/>
      <c r="F28" s="685"/>
      <c r="G28" s="685"/>
      <c r="H28" s="684"/>
      <c r="I28" s="74"/>
      <c r="J28" s="554"/>
      <c r="K28" s="699"/>
      <c r="L28" s="699"/>
      <c r="M28" s="700"/>
      <c r="N28" s="700"/>
      <c r="O28" s="701"/>
    </row>
    <row r="29" spans="1:15" s="4" customFormat="1" ht="15.75" x14ac:dyDescent="0.2">
      <c r="A29" s="15">
        <v>1</v>
      </c>
      <c r="B29" s="16">
        <v>2</v>
      </c>
      <c r="C29" s="16">
        <v>3</v>
      </c>
      <c r="D29" s="17">
        <v>4</v>
      </c>
      <c r="E29" s="17">
        <v>5</v>
      </c>
      <c r="F29" s="17">
        <v>6</v>
      </c>
      <c r="G29" s="17">
        <v>7</v>
      </c>
      <c r="H29" s="18">
        <v>8</v>
      </c>
      <c r="I29" s="73"/>
      <c r="J29" s="554"/>
      <c r="K29" s="60"/>
      <c r="L29" s="60"/>
      <c r="M29" s="67"/>
      <c r="N29" s="67"/>
      <c r="O29" s="68"/>
    </row>
    <row r="30" spans="1:15" s="4" customFormat="1" ht="12.75" customHeight="1" x14ac:dyDescent="0.2">
      <c r="A30" s="686" t="s">
        <v>24</v>
      </c>
      <c r="B30" s="687"/>
      <c r="C30" s="687"/>
      <c r="D30" s="687"/>
      <c r="E30" s="687"/>
      <c r="F30" s="687"/>
      <c r="G30" s="687"/>
      <c r="H30" s="688"/>
      <c r="I30" s="75"/>
      <c r="J30" s="2"/>
      <c r="K30" s="64"/>
      <c r="L30" s="64"/>
      <c r="M30" s="64"/>
      <c r="N30" s="64"/>
      <c r="O30" s="61"/>
    </row>
    <row r="31" spans="1:15" s="234" customFormat="1" ht="17.25" customHeight="1" x14ac:dyDescent="0.2">
      <c r="A31" s="317">
        <v>1</v>
      </c>
      <c r="B31" s="268" t="s">
        <v>25</v>
      </c>
      <c r="C31" s="268" t="s">
        <v>26</v>
      </c>
      <c r="D31" s="270">
        <f>SUM(D32:D33)</f>
        <v>5272.04</v>
      </c>
      <c r="E31" s="270"/>
      <c r="F31" s="270"/>
      <c r="G31" s="269"/>
      <c r="H31" s="271">
        <f>D31+E31+F31+G31</f>
        <v>5272.04</v>
      </c>
      <c r="I31" s="272"/>
      <c r="J31" s="233"/>
      <c r="K31" s="273">
        <f>SUM(K32:K33)</f>
        <v>43975234.950000003</v>
      </c>
      <c r="L31" s="273">
        <f>SUM(L32:L33)</f>
        <v>0</v>
      </c>
      <c r="M31" s="273">
        <f>SUM(M32:M33)</f>
        <v>0</v>
      </c>
      <c r="N31" s="273">
        <f>SUM(N32:N33)</f>
        <v>0</v>
      </c>
      <c r="O31" s="273">
        <f t="shared" ref="O31:O38" si="0">SUM(K31:N31)</f>
        <v>43975234.950000003</v>
      </c>
    </row>
    <row r="32" spans="1:15" s="315" customFormat="1" ht="27.75" customHeight="1" outlineLevel="1" x14ac:dyDescent="0.2">
      <c r="A32" s="296" t="s">
        <v>452</v>
      </c>
      <c r="B32" s="297"/>
      <c r="C32" s="297" t="s">
        <v>454</v>
      </c>
      <c r="D32" s="298">
        <f>3652.97-0.01</f>
        <v>3652.96</v>
      </c>
      <c r="E32" s="298"/>
      <c r="F32" s="298"/>
      <c r="G32" s="299"/>
      <c r="H32" s="300"/>
      <c r="I32" s="301"/>
      <c r="J32" s="314"/>
      <c r="K32" s="308">
        <f>((D32)*1.023*1.01-(D32)*0.023*0.15)*8.1*1000</f>
        <v>30470135.710000001</v>
      </c>
      <c r="L32" s="308">
        <f>((E32)*1.023*1.01-(E32)*0.023*0.15)*8.1*1000</f>
        <v>0</v>
      </c>
      <c r="M32" s="308"/>
      <c r="N32" s="308"/>
      <c r="O32" s="308">
        <f t="shared" si="0"/>
        <v>30470135.710000001</v>
      </c>
    </row>
    <row r="33" spans="1:16" s="315" customFormat="1" ht="27" customHeight="1" outlineLevel="1" x14ac:dyDescent="0.2">
      <c r="A33" s="296" t="s">
        <v>453</v>
      </c>
      <c r="B33" s="297"/>
      <c r="C33" s="297" t="s">
        <v>455</v>
      </c>
      <c r="D33" s="298">
        <v>1619.08</v>
      </c>
      <c r="E33" s="298"/>
      <c r="F33" s="298"/>
      <c r="G33" s="299"/>
      <c r="H33" s="300"/>
      <c r="I33" s="301"/>
      <c r="J33" s="314"/>
      <c r="K33" s="308">
        <f>((D33)*1.023*1.01-(D33)*0.023*0.15)*8.1*1000</f>
        <v>13505099.24</v>
      </c>
      <c r="L33" s="308">
        <f>((E33)*1.023*1.01-(E33)*0.023*0.15)*8.1*1000</f>
        <v>0</v>
      </c>
      <c r="M33" s="308"/>
      <c r="N33" s="308"/>
      <c r="O33" s="308">
        <f t="shared" si="0"/>
        <v>13505099.24</v>
      </c>
    </row>
    <row r="34" spans="1:16" s="234" customFormat="1" ht="22.5" customHeight="1" x14ac:dyDescent="0.2">
      <c r="A34" s="317">
        <v>2</v>
      </c>
      <c r="B34" s="268" t="s">
        <v>27</v>
      </c>
      <c r="C34" s="268" t="s">
        <v>700</v>
      </c>
      <c r="D34" s="270">
        <f>SUM(D35:D36)</f>
        <v>0</v>
      </c>
      <c r="E34" s="270"/>
      <c r="F34" s="270"/>
      <c r="G34" s="269"/>
      <c r="H34" s="271">
        <f>D34+E34+F34+G34</f>
        <v>0</v>
      </c>
      <c r="I34" s="272"/>
      <c r="J34" s="233"/>
      <c r="K34" s="273">
        <f>SUM(K35:K38)</f>
        <v>0</v>
      </c>
      <c r="L34" s="273"/>
      <c r="M34" s="273"/>
      <c r="N34" s="273"/>
      <c r="O34" s="273">
        <f t="shared" si="0"/>
        <v>0</v>
      </c>
    </row>
    <row r="35" spans="1:16" s="315" customFormat="1" ht="14.25" customHeight="1" outlineLevel="1" x14ac:dyDescent="0.2">
      <c r="A35" s="296" t="s">
        <v>457</v>
      </c>
      <c r="B35" s="297"/>
      <c r="C35" s="297" t="s">
        <v>456</v>
      </c>
      <c r="D35" s="569">
        <f>215.9*0</f>
        <v>0</v>
      </c>
      <c r="E35" s="298"/>
      <c r="F35" s="298"/>
      <c r="G35" s="299"/>
      <c r="H35" s="300"/>
      <c r="I35" s="301"/>
      <c r="J35" s="314"/>
      <c r="K35" s="308">
        <f>((D35)*1.023*1.01-(D35)*0.023*0.15)*8.1*1000</f>
        <v>0</v>
      </c>
      <c r="L35" s="308"/>
      <c r="M35" s="308"/>
      <c r="N35" s="308"/>
      <c r="O35" s="308">
        <f t="shared" si="0"/>
        <v>0</v>
      </c>
    </row>
    <row r="36" spans="1:16" s="315" customFormat="1" ht="27.75" customHeight="1" outlineLevel="1" x14ac:dyDescent="0.2">
      <c r="A36" s="296" t="s">
        <v>458</v>
      </c>
      <c r="B36" s="297"/>
      <c r="C36" s="297" t="s">
        <v>459</v>
      </c>
      <c r="D36" s="569">
        <f>344.5*0</f>
        <v>0</v>
      </c>
      <c r="E36" s="298"/>
      <c r="F36" s="298"/>
      <c r="G36" s="299"/>
      <c r="H36" s="300"/>
      <c r="I36" s="301"/>
      <c r="J36" s="314"/>
      <c r="K36" s="308">
        <f>((D36)*1.023*1.01-(D36)*0.023*0.15)*8.1*1000</f>
        <v>0</v>
      </c>
      <c r="L36" s="308"/>
      <c r="M36" s="308"/>
      <c r="N36" s="308"/>
      <c r="O36" s="308">
        <f t="shared" si="0"/>
        <v>0</v>
      </c>
    </row>
    <row r="37" spans="1:16" s="283" customFormat="1" ht="40.5" customHeight="1" x14ac:dyDescent="0.2">
      <c r="A37" s="275">
        <v>3</v>
      </c>
      <c r="B37" s="276" t="s">
        <v>29</v>
      </c>
      <c r="C37" s="276" t="s">
        <v>30</v>
      </c>
      <c r="D37" s="277"/>
      <c r="E37" s="277"/>
      <c r="F37" s="277"/>
      <c r="G37" s="278">
        <f>ROUND((1673.31+6348.47)/4.35/1.266,2)</f>
        <v>1456.63</v>
      </c>
      <c r="H37" s="279">
        <f>D37+E37+F37+G37</f>
        <v>1456.63</v>
      </c>
      <c r="I37" s="280"/>
      <c r="J37" s="281"/>
      <c r="K37" s="282"/>
      <c r="L37" s="282"/>
      <c r="M37" s="282"/>
      <c r="N37" s="282">
        <f>G37*1.266*4.35*1000</f>
        <v>8021807.0700000003</v>
      </c>
      <c r="O37" s="282">
        <f t="shared" si="0"/>
        <v>8021807.0700000003</v>
      </c>
      <c r="P37" s="274">
        <f>N37*1.02</f>
        <v>8182243.21</v>
      </c>
    </row>
    <row r="38" spans="1:16" s="234" customFormat="1" ht="38.25" x14ac:dyDescent="0.2">
      <c r="A38" s="267">
        <v>4</v>
      </c>
      <c r="B38" s="268" t="s">
        <v>31</v>
      </c>
      <c r="C38" s="268" t="s">
        <v>32</v>
      </c>
      <c r="D38" s="269"/>
      <c r="E38" s="269"/>
      <c r="F38" s="269"/>
      <c r="G38" s="270">
        <f>ROUND(48238.26/1.2/10.79/1000,2)</f>
        <v>3.73</v>
      </c>
      <c r="H38" s="271">
        <f>D38+E38+F38+G38</f>
        <v>3.73</v>
      </c>
      <c r="I38" s="272"/>
      <c r="J38" s="233"/>
      <c r="K38" s="273"/>
      <c r="L38" s="273"/>
      <c r="M38" s="273"/>
      <c r="N38" s="273">
        <f>G38*10.79*1000</f>
        <v>40246.699999999997</v>
      </c>
      <c r="O38" s="273">
        <f t="shared" si="0"/>
        <v>40246.699999999997</v>
      </c>
      <c r="P38" s="274">
        <f>N38*1.02</f>
        <v>41051.629999999997</v>
      </c>
    </row>
    <row r="39" spans="1:16" s="4" customFormat="1" ht="27.95" customHeight="1" x14ac:dyDescent="0.2">
      <c r="A39" s="28"/>
      <c r="B39" s="673" t="s">
        <v>33</v>
      </c>
      <c r="C39" s="673"/>
      <c r="D39" s="32">
        <f>D31+D34+D37+D38</f>
        <v>5272.04</v>
      </c>
      <c r="E39" s="32">
        <f>E31+E34+E37+E38</f>
        <v>0</v>
      </c>
      <c r="F39" s="32">
        <f>F31+F34+F37+F38</f>
        <v>0</v>
      </c>
      <c r="G39" s="32">
        <f>G31+G34+G37+G38</f>
        <v>1460.36</v>
      </c>
      <c r="H39" s="32">
        <f>H31+H34+H37+H38</f>
        <v>6732.4</v>
      </c>
      <c r="I39" s="77"/>
      <c r="J39" s="2"/>
      <c r="K39" s="69">
        <f>K31+K34+K37+K38</f>
        <v>43975234.950000003</v>
      </c>
      <c r="L39" s="69">
        <f>L31+L34+L37+L38</f>
        <v>0</v>
      </c>
      <c r="M39" s="69">
        <f>M31+M34+M37+M38</f>
        <v>0</v>
      </c>
      <c r="N39" s="69">
        <f>N31+N34+N37+N38</f>
        <v>8062053.7699999996</v>
      </c>
      <c r="O39" s="69">
        <f>O31+O34+O37+O38</f>
        <v>52037288.719999999</v>
      </c>
    </row>
    <row r="40" spans="1:16" s="4" customFormat="1" ht="12.75" customHeight="1" x14ac:dyDescent="0.2">
      <c r="A40" s="686" t="s">
        <v>34</v>
      </c>
      <c r="B40" s="687"/>
      <c r="C40" s="687"/>
      <c r="D40" s="687"/>
      <c r="E40" s="687"/>
      <c r="F40" s="687"/>
      <c r="G40" s="687"/>
      <c r="H40" s="688"/>
      <c r="I40" s="75"/>
      <c r="J40" s="2"/>
      <c r="K40" s="61"/>
      <c r="L40" s="61"/>
      <c r="M40" s="61"/>
      <c r="N40" s="61"/>
      <c r="O40" s="61"/>
    </row>
    <row r="41" spans="1:16" s="265" customFormat="1" x14ac:dyDescent="0.2">
      <c r="A41" s="258">
        <v>5</v>
      </c>
      <c r="B41" s="179" t="s">
        <v>35</v>
      </c>
      <c r="C41" s="179" t="s">
        <v>36</v>
      </c>
      <c r="D41" s="266">
        <f>D42+D47+D51+D56+D62+D63+D69+D70+D75+D76+D80+D84+D87+D91</f>
        <v>18277.439999999999</v>
      </c>
      <c r="E41" s="259">
        <f>E42+E47+E51+E56+E62+E63+E69+E70+E75+E76+E80+E84+E87+E91</f>
        <v>2923.68</v>
      </c>
      <c r="F41" s="266">
        <f>F42+F47+F51+F56+F62+F63+F69+F70+F75+F76+F80+F84+F87+F91</f>
        <v>2012.84</v>
      </c>
      <c r="G41" s="266"/>
      <c r="H41" s="266">
        <f>SUM(D41:G41)</f>
        <v>23213.96</v>
      </c>
      <c r="I41" s="262"/>
      <c r="J41" s="263"/>
      <c r="K41" s="266">
        <f>K42+K47+K51+K56+K62+K63+K69+K70+K75+K76+K80+K84+K87+K91</f>
        <v>152456111.50999999</v>
      </c>
      <c r="L41" s="266">
        <f>L42+L47+L51+L56+L62+L63+L69+L70+L75+L76+L80+L84+L87+L91</f>
        <v>24387077.280000001</v>
      </c>
      <c r="M41" s="266">
        <f>M42+M47+M51+M56+M62+M63+M69+M70+M75+M76+M80+M84+M87+M91</f>
        <v>8232515.5999999996</v>
      </c>
      <c r="N41" s="264"/>
      <c r="O41" s="264">
        <f t="shared" ref="O41:O72" si="1">SUM(K41:N41)</f>
        <v>185075704.38999999</v>
      </c>
    </row>
    <row r="42" spans="1:16" s="231" customFormat="1" x14ac:dyDescent="0.2">
      <c r="A42" s="284" t="s">
        <v>271</v>
      </c>
      <c r="B42" s="285"/>
      <c r="C42" s="285" t="s">
        <v>197</v>
      </c>
      <c r="D42" s="286">
        <f>SUM(D43:D46)</f>
        <v>4142.18</v>
      </c>
      <c r="E42" s="286"/>
      <c r="F42" s="286"/>
      <c r="G42" s="287"/>
      <c r="H42" s="288">
        <f>SUM(D42:G42)</f>
        <v>4142.18</v>
      </c>
      <c r="I42" s="289"/>
      <c r="J42" s="230"/>
      <c r="K42" s="286">
        <f>SUM(K43:K46)</f>
        <v>34550826.380000003</v>
      </c>
      <c r="L42" s="242"/>
      <c r="M42" s="242"/>
      <c r="N42" s="242"/>
      <c r="O42" s="242">
        <f t="shared" si="1"/>
        <v>34550826.380000003</v>
      </c>
    </row>
    <row r="43" spans="1:16" s="255" customFormat="1" ht="15" customHeight="1" outlineLevel="1" x14ac:dyDescent="0.2">
      <c r="A43" s="246" t="s">
        <v>348</v>
      </c>
      <c r="B43" s="247" t="s">
        <v>233</v>
      </c>
      <c r="C43" s="247" t="s">
        <v>345</v>
      </c>
      <c r="D43" s="248">
        <f>2044111/1000</f>
        <v>2044.11</v>
      </c>
      <c r="E43" s="248"/>
      <c r="F43" s="248"/>
      <c r="G43" s="249"/>
      <c r="H43" s="250"/>
      <c r="I43" s="251"/>
      <c r="J43" s="252"/>
      <c r="K43" s="253">
        <f>((D43)*1.023*1.01-(D43)*0.023*0.15)*8.1*1000</f>
        <v>17050367.129999999</v>
      </c>
      <c r="L43" s="253"/>
      <c r="M43" s="253"/>
      <c r="N43" s="257"/>
      <c r="O43" s="257">
        <f t="shared" si="1"/>
        <v>17050367.129999999</v>
      </c>
    </row>
    <row r="44" spans="1:16" s="255" customFormat="1" outlineLevel="1" x14ac:dyDescent="0.2">
      <c r="A44" s="246" t="s">
        <v>349</v>
      </c>
      <c r="B44" s="247" t="s">
        <v>233</v>
      </c>
      <c r="C44" s="247" t="s">
        <v>346</v>
      </c>
      <c r="D44" s="248">
        <v>524.58000000000004</v>
      </c>
      <c r="E44" s="248"/>
      <c r="F44" s="248"/>
      <c r="G44" s="249"/>
      <c r="H44" s="250"/>
      <c r="I44" s="251"/>
      <c r="J44" s="252"/>
      <c r="K44" s="253">
        <f>((D44)*1.023*1.01-(D44)*0.023*0.15)*8.1*1000</f>
        <v>4375636.1399999997</v>
      </c>
      <c r="L44" s="253"/>
      <c r="M44" s="253"/>
      <c r="N44" s="257"/>
      <c r="O44" s="257">
        <f t="shared" si="1"/>
        <v>4375636.1399999997</v>
      </c>
    </row>
    <row r="45" spans="1:16" s="255" customFormat="1" outlineLevel="1" x14ac:dyDescent="0.2">
      <c r="A45" s="246" t="s">
        <v>350</v>
      </c>
      <c r="B45" s="247" t="s">
        <v>233</v>
      </c>
      <c r="C45" s="247" t="s">
        <v>347</v>
      </c>
      <c r="D45" s="248">
        <v>489.41</v>
      </c>
      <c r="E45" s="248"/>
      <c r="F45" s="248"/>
      <c r="G45" s="249"/>
      <c r="H45" s="250"/>
      <c r="I45" s="251"/>
      <c r="J45" s="252"/>
      <c r="K45" s="253">
        <f>((D45)*1.023*1.01-(D45)*0.023*0.15)*8.1*1000</f>
        <v>4082275.5</v>
      </c>
      <c r="L45" s="253"/>
      <c r="M45" s="253"/>
      <c r="N45" s="257"/>
      <c r="O45" s="257">
        <f t="shared" si="1"/>
        <v>4082275.5</v>
      </c>
    </row>
    <row r="46" spans="1:16" s="291" customFormat="1" ht="31.5" customHeight="1" outlineLevel="1" x14ac:dyDescent="0.2">
      <c r="A46" s="246" t="s">
        <v>881</v>
      </c>
      <c r="B46" s="247" t="s">
        <v>247</v>
      </c>
      <c r="C46" s="247" t="s">
        <v>248</v>
      </c>
      <c r="D46" s="248">
        <v>1084.08</v>
      </c>
      <c r="E46" s="248"/>
      <c r="F46" s="248"/>
      <c r="G46" s="249"/>
      <c r="H46" s="250">
        <f>SUM(D46:G46)</f>
        <v>1084.08</v>
      </c>
      <c r="I46" s="251"/>
      <c r="J46" s="290"/>
      <c r="K46" s="253">
        <f>((D46)*1.023*1.01-(D46)*0.023*0.15)*8.1*1000</f>
        <v>9042547.6099999994</v>
      </c>
      <c r="L46" s="253"/>
      <c r="M46" s="253"/>
      <c r="N46" s="253"/>
      <c r="O46" s="253">
        <f t="shared" si="1"/>
        <v>9042547.6099999994</v>
      </c>
    </row>
    <row r="47" spans="1:16" s="231" customFormat="1" ht="25.5" x14ac:dyDescent="0.2">
      <c r="A47" s="284" t="s">
        <v>304</v>
      </c>
      <c r="B47" s="285" t="s">
        <v>234</v>
      </c>
      <c r="C47" s="285" t="s">
        <v>199</v>
      </c>
      <c r="D47" s="286">
        <f>SUM(D48:D50)</f>
        <v>1893.45</v>
      </c>
      <c r="E47" s="286">
        <f>SUM(E48:E50)</f>
        <v>1652.78</v>
      </c>
      <c r="F47" s="286">
        <f>SUM(F48:F50)</f>
        <v>0</v>
      </c>
      <c r="G47" s="287"/>
      <c r="H47" s="288">
        <f>SUM(D47:G47)</f>
        <v>3546.23</v>
      </c>
      <c r="I47" s="289"/>
      <c r="J47" s="230"/>
      <c r="K47" s="242">
        <f>SUM(K48:K50)</f>
        <v>15793679.220000001</v>
      </c>
      <c r="L47" s="242">
        <f>SUM(L48:L50)</f>
        <v>13786198.289999999</v>
      </c>
      <c r="M47" s="242">
        <f>SUM(M48:M50)</f>
        <v>0</v>
      </c>
      <c r="N47" s="242"/>
      <c r="O47" s="242">
        <f t="shared" si="1"/>
        <v>29579877.510000002</v>
      </c>
    </row>
    <row r="48" spans="1:16" s="255" customFormat="1" ht="25.5" outlineLevel="1" x14ac:dyDescent="0.2">
      <c r="A48" s="246" t="s">
        <v>353</v>
      </c>
      <c r="B48" s="247"/>
      <c r="C48" s="247" t="s">
        <v>351</v>
      </c>
      <c r="D48" s="248">
        <f>1753.36+0.01</f>
        <v>1753.37</v>
      </c>
      <c r="E48" s="248"/>
      <c r="F48" s="248"/>
      <c r="G48" s="249"/>
      <c r="H48" s="250"/>
      <c r="I48" s="251"/>
      <c r="J48" s="252"/>
      <c r="K48" s="253">
        <f t="shared" ref="K48:L50" si="2">((D48)*1.023*1.01-(D48)*0.023*0.15)*8.1*1000</f>
        <v>14625241.4</v>
      </c>
      <c r="L48" s="253">
        <f t="shared" si="2"/>
        <v>0</v>
      </c>
      <c r="M48" s="253">
        <f>F48*4.09*1000</f>
        <v>0</v>
      </c>
      <c r="N48" s="257"/>
      <c r="O48" s="253">
        <f t="shared" si="1"/>
        <v>14625241.4</v>
      </c>
    </row>
    <row r="49" spans="1:15" s="255" customFormat="1" ht="16.5" customHeight="1" outlineLevel="1" x14ac:dyDescent="0.2">
      <c r="A49" s="246" t="s">
        <v>354</v>
      </c>
      <c r="B49" s="247"/>
      <c r="C49" s="247" t="s">
        <v>352</v>
      </c>
      <c r="D49" s="248">
        <v>140.08000000000001</v>
      </c>
      <c r="E49" s="248">
        <v>1652.78</v>
      </c>
      <c r="F49" s="248"/>
      <c r="G49" s="249"/>
      <c r="H49" s="250"/>
      <c r="I49" s="251"/>
      <c r="J49" s="252"/>
      <c r="K49" s="253">
        <f t="shared" si="2"/>
        <v>1168437.82</v>
      </c>
      <c r="L49" s="253">
        <f t="shared" si="2"/>
        <v>13786198.289999999</v>
      </c>
      <c r="M49" s="253">
        <f>F49*4.09*1000</f>
        <v>0</v>
      </c>
      <c r="N49" s="257"/>
      <c r="O49" s="253">
        <f t="shared" si="1"/>
        <v>14954636.109999999</v>
      </c>
    </row>
    <row r="50" spans="1:15" s="255" customFormat="1" ht="15" outlineLevel="1" x14ac:dyDescent="0.2">
      <c r="A50" s="246" t="s">
        <v>355</v>
      </c>
      <c r="B50" s="247"/>
      <c r="C50" s="247" t="s">
        <v>343</v>
      </c>
      <c r="D50" s="248"/>
      <c r="E50" s="248"/>
      <c r="F50" s="172">
        <f>333129.58*0</f>
        <v>0</v>
      </c>
      <c r="G50" s="249"/>
      <c r="H50" s="250"/>
      <c r="I50" s="251">
        <f>F50*4.09*1.02*1.2</f>
        <v>0</v>
      </c>
      <c r="J50" s="252"/>
      <c r="K50" s="253">
        <f t="shared" si="2"/>
        <v>0</v>
      </c>
      <c r="L50" s="253">
        <f t="shared" si="2"/>
        <v>0</v>
      </c>
      <c r="M50" s="162">
        <f>F50*1000*4.09</f>
        <v>0</v>
      </c>
      <c r="N50" s="257"/>
      <c r="O50" s="253">
        <f t="shared" si="1"/>
        <v>0</v>
      </c>
    </row>
    <row r="51" spans="1:15" s="231" customFormat="1" x14ac:dyDescent="0.2">
      <c r="A51" s="284" t="s">
        <v>305</v>
      </c>
      <c r="B51" s="285"/>
      <c r="C51" s="285" t="s">
        <v>201</v>
      </c>
      <c r="D51" s="286">
        <f>SUM(D52:D55)</f>
        <v>0.6</v>
      </c>
      <c r="E51" s="286">
        <f>SUM(E52:E55)</f>
        <v>737.5</v>
      </c>
      <c r="F51" s="286"/>
      <c r="G51" s="287"/>
      <c r="H51" s="288">
        <f t="shared" ref="H51:H56" si="3">SUM(D51:G51)</f>
        <v>738.1</v>
      </c>
      <c r="I51" s="289"/>
      <c r="J51" s="230"/>
      <c r="K51" s="242">
        <f>SUM(K52:K55)</f>
        <v>5004.7299999999996</v>
      </c>
      <c r="L51" s="242">
        <f>SUM(L52:L55)</f>
        <v>6151648.2800000003</v>
      </c>
      <c r="M51" s="242"/>
      <c r="N51" s="242"/>
      <c r="O51" s="242">
        <f t="shared" si="1"/>
        <v>6156653.0099999998</v>
      </c>
    </row>
    <row r="52" spans="1:15" s="255" customFormat="1" outlineLevel="1" x14ac:dyDescent="0.2">
      <c r="A52" s="246" t="s">
        <v>357</v>
      </c>
      <c r="B52" s="247" t="s">
        <v>235</v>
      </c>
      <c r="C52" s="247" t="s">
        <v>356</v>
      </c>
      <c r="D52" s="248">
        <f>461/1000</f>
        <v>0.46</v>
      </c>
      <c r="E52" s="248">
        <f>84416/1000</f>
        <v>84.42</v>
      </c>
      <c r="F52" s="248"/>
      <c r="G52" s="249"/>
      <c r="H52" s="250">
        <f t="shared" si="3"/>
        <v>84.88</v>
      </c>
      <c r="I52" s="251"/>
      <c r="J52" s="252"/>
      <c r="K52" s="253">
        <f t="shared" ref="K52:L55" si="4">((D52)*1.023*1.01-(D52)*0.023*0.15)*8.1*1000</f>
        <v>3836.96</v>
      </c>
      <c r="L52" s="253">
        <f t="shared" si="4"/>
        <v>704165.62</v>
      </c>
      <c r="M52" s="253"/>
      <c r="N52" s="257"/>
      <c r="O52" s="253">
        <f t="shared" si="1"/>
        <v>708002.58</v>
      </c>
    </row>
    <row r="53" spans="1:15" s="255" customFormat="1" outlineLevel="1" x14ac:dyDescent="0.2">
      <c r="A53" s="246" t="s">
        <v>358</v>
      </c>
      <c r="B53" s="247" t="s">
        <v>235</v>
      </c>
      <c r="C53" s="247" t="s">
        <v>360</v>
      </c>
      <c r="D53" s="248"/>
      <c r="E53" s="248">
        <f>49835/1000</f>
        <v>49.84</v>
      </c>
      <c r="F53" s="248"/>
      <c r="G53" s="249"/>
      <c r="H53" s="250">
        <f t="shared" si="3"/>
        <v>49.84</v>
      </c>
      <c r="I53" s="251"/>
      <c r="J53" s="252"/>
      <c r="K53" s="253">
        <f t="shared" si="4"/>
        <v>0</v>
      </c>
      <c r="L53" s="253">
        <f t="shared" si="4"/>
        <v>415726.31</v>
      </c>
      <c r="M53" s="253"/>
      <c r="N53" s="257"/>
      <c r="O53" s="253">
        <f t="shared" si="1"/>
        <v>415726.31</v>
      </c>
    </row>
    <row r="54" spans="1:15" s="255" customFormat="1" outlineLevel="1" x14ac:dyDescent="0.2">
      <c r="A54" s="246" t="s">
        <v>359</v>
      </c>
      <c r="B54" s="247" t="s">
        <v>235</v>
      </c>
      <c r="C54" s="247" t="s">
        <v>361</v>
      </c>
      <c r="D54" s="248"/>
      <c r="E54" s="248">
        <f>603246/1000-0.01</f>
        <v>603.24</v>
      </c>
      <c r="F54" s="248"/>
      <c r="G54" s="249"/>
      <c r="H54" s="250">
        <f t="shared" si="3"/>
        <v>603.24</v>
      </c>
      <c r="I54" s="251"/>
      <c r="J54" s="252"/>
      <c r="K54" s="253">
        <f t="shared" si="4"/>
        <v>0</v>
      </c>
      <c r="L54" s="253">
        <f t="shared" si="4"/>
        <v>5031756.3499999996</v>
      </c>
      <c r="M54" s="253"/>
      <c r="N54" s="257"/>
      <c r="O54" s="253">
        <f t="shared" si="1"/>
        <v>5031756.3499999996</v>
      </c>
    </row>
    <row r="55" spans="1:15" s="291" customFormat="1" ht="31.5" customHeight="1" outlineLevel="1" x14ac:dyDescent="0.2">
      <c r="A55" s="246" t="s">
        <v>883</v>
      </c>
      <c r="B55" s="247" t="s">
        <v>249</v>
      </c>
      <c r="C55" s="247" t="s">
        <v>250</v>
      </c>
      <c r="D55" s="248">
        <v>0.14000000000000001</v>
      </c>
      <c r="E55" s="248"/>
      <c r="F55" s="248"/>
      <c r="G55" s="249"/>
      <c r="H55" s="250">
        <f t="shared" si="3"/>
        <v>0.14000000000000001</v>
      </c>
      <c r="I55" s="251"/>
      <c r="J55" s="290"/>
      <c r="K55" s="253">
        <f t="shared" si="4"/>
        <v>1167.77</v>
      </c>
      <c r="L55" s="253">
        <f t="shared" si="4"/>
        <v>0</v>
      </c>
      <c r="M55" s="253"/>
      <c r="N55" s="253"/>
      <c r="O55" s="253">
        <f t="shared" si="1"/>
        <v>1167.77</v>
      </c>
    </row>
    <row r="56" spans="1:15" s="231" customFormat="1" ht="25.5" x14ac:dyDescent="0.2">
      <c r="A56" s="284" t="s">
        <v>306</v>
      </c>
      <c r="B56" s="285"/>
      <c r="C56" s="285" t="s">
        <v>203</v>
      </c>
      <c r="D56" s="286">
        <f>SUM(D57:D61)</f>
        <v>85.75</v>
      </c>
      <c r="E56" s="286">
        <f>SUM(E57:E61)</f>
        <v>20.64</v>
      </c>
      <c r="F56" s="286">
        <f>SUM(F57:F61)</f>
        <v>647.55999999999995</v>
      </c>
      <c r="G56" s="287"/>
      <c r="H56" s="288">
        <f t="shared" si="3"/>
        <v>753.95</v>
      </c>
      <c r="I56" s="289"/>
      <c r="J56" s="230"/>
      <c r="K56" s="242">
        <f>SUM(K57:K61)</f>
        <v>715259.44</v>
      </c>
      <c r="L56" s="242">
        <f>SUM(L57:L61)</f>
        <v>172162.74</v>
      </c>
      <c r="M56" s="242">
        <f>SUM(M57:M61)</f>
        <v>2648520.4</v>
      </c>
      <c r="N56" s="242"/>
      <c r="O56" s="242">
        <f t="shared" si="1"/>
        <v>3535942.58</v>
      </c>
    </row>
    <row r="57" spans="1:15" s="255" customFormat="1" outlineLevel="1" x14ac:dyDescent="0.2">
      <c r="A57" s="246" t="s">
        <v>363</v>
      </c>
      <c r="B57" s="247" t="s">
        <v>236</v>
      </c>
      <c r="C57" s="247" t="s">
        <v>362</v>
      </c>
      <c r="D57" s="248">
        <f>58263/1000</f>
        <v>58.26</v>
      </c>
      <c r="E57" s="248"/>
      <c r="F57" s="248"/>
      <c r="G57" s="249"/>
      <c r="H57" s="250"/>
      <c r="I57" s="251"/>
      <c r="J57" s="252"/>
      <c r="K57" s="253">
        <f t="shared" ref="K57:L62" si="5">((D57)*1.023*1.01-(D57)*0.023*0.15)*8.1*1000</f>
        <v>485959.36</v>
      </c>
      <c r="L57" s="253">
        <f t="shared" si="5"/>
        <v>0</v>
      </c>
      <c r="M57" s="253">
        <f t="shared" ref="M57:M62" si="6">F57*4.09*1000</f>
        <v>0</v>
      </c>
      <c r="N57" s="257"/>
      <c r="O57" s="253">
        <f t="shared" si="1"/>
        <v>485959.36</v>
      </c>
    </row>
    <row r="58" spans="1:15" s="255" customFormat="1" outlineLevel="1" x14ac:dyDescent="0.2">
      <c r="A58" s="246" t="s">
        <v>366</v>
      </c>
      <c r="B58" s="247" t="s">
        <v>236</v>
      </c>
      <c r="C58" s="247" t="s">
        <v>364</v>
      </c>
      <c r="D58" s="248"/>
      <c r="E58" s="248">
        <f>20129/1000</f>
        <v>20.13</v>
      </c>
      <c r="F58" s="248">
        <f>612266/1000</f>
        <v>612.27</v>
      </c>
      <c r="G58" s="249"/>
      <c r="H58" s="250"/>
      <c r="I58" s="251"/>
      <c r="J58" s="252"/>
      <c r="K58" s="253">
        <f t="shared" si="5"/>
        <v>0</v>
      </c>
      <c r="L58" s="253">
        <f t="shared" si="5"/>
        <v>167908.72</v>
      </c>
      <c r="M58" s="253">
        <f t="shared" si="6"/>
        <v>2504184.2999999998</v>
      </c>
      <c r="N58" s="257"/>
      <c r="O58" s="253">
        <f t="shared" si="1"/>
        <v>2672093.02</v>
      </c>
    </row>
    <row r="59" spans="1:15" s="255" customFormat="1" outlineLevel="1" x14ac:dyDescent="0.2">
      <c r="A59" s="246" t="s">
        <v>367</v>
      </c>
      <c r="B59" s="247" t="s">
        <v>236</v>
      </c>
      <c r="C59" s="247" t="s">
        <v>365</v>
      </c>
      <c r="D59" s="248">
        <f>5140/1000</f>
        <v>5.14</v>
      </c>
      <c r="E59" s="248">
        <f>506/1000</f>
        <v>0.51</v>
      </c>
      <c r="F59" s="248">
        <f>18193/1000</f>
        <v>18.190000000000001</v>
      </c>
      <c r="G59" s="249"/>
      <c r="H59" s="250"/>
      <c r="I59" s="251"/>
      <c r="J59" s="252"/>
      <c r="K59" s="253">
        <f t="shared" si="5"/>
        <v>42873.86</v>
      </c>
      <c r="L59" s="253">
        <f t="shared" si="5"/>
        <v>4254.0200000000004</v>
      </c>
      <c r="M59" s="253">
        <f t="shared" si="6"/>
        <v>74397.100000000006</v>
      </c>
      <c r="N59" s="257"/>
      <c r="O59" s="253">
        <f t="shared" si="1"/>
        <v>121524.98</v>
      </c>
    </row>
    <row r="60" spans="1:15" s="291" customFormat="1" outlineLevel="1" x14ac:dyDescent="0.2">
      <c r="A60" s="246" t="s">
        <v>369</v>
      </c>
      <c r="B60" s="247" t="s">
        <v>236</v>
      </c>
      <c r="C60" s="247" t="s">
        <v>368</v>
      </c>
      <c r="D60" s="248">
        <v>0.47</v>
      </c>
      <c r="E60" s="248"/>
      <c r="F60" s="248">
        <v>17.100000000000001</v>
      </c>
      <c r="G60" s="249"/>
      <c r="H60" s="250"/>
      <c r="I60" s="251"/>
      <c r="J60" s="290"/>
      <c r="K60" s="253">
        <f t="shared" si="5"/>
        <v>3920.37</v>
      </c>
      <c r="L60" s="253">
        <f t="shared" si="5"/>
        <v>0</v>
      </c>
      <c r="M60" s="253">
        <f t="shared" si="6"/>
        <v>69939</v>
      </c>
      <c r="N60" s="253"/>
      <c r="O60" s="253">
        <f t="shared" si="1"/>
        <v>73859.37</v>
      </c>
    </row>
    <row r="61" spans="1:15" s="291" customFormat="1" ht="31.5" customHeight="1" outlineLevel="1" x14ac:dyDescent="0.2">
      <c r="A61" s="246" t="s">
        <v>882</v>
      </c>
      <c r="B61" s="247" t="s">
        <v>251</v>
      </c>
      <c r="C61" s="247" t="s">
        <v>252</v>
      </c>
      <c r="D61" s="248">
        <v>21.88</v>
      </c>
      <c r="E61" s="248"/>
      <c r="F61" s="248"/>
      <c r="G61" s="249"/>
      <c r="H61" s="250">
        <f>SUM(D61:G61)</f>
        <v>21.88</v>
      </c>
      <c r="I61" s="251"/>
      <c r="J61" s="290"/>
      <c r="K61" s="253">
        <f t="shared" si="5"/>
        <v>182505.85</v>
      </c>
      <c r="L61" s="253">
        <f t="shared" si="5"/>
        <v>0</v>
      </c>
      <c r="M61" s="253">
        <f t="shared" si="6"/>
        <v>0</v>
      </c>
      <c r="N61" s="253"/>
      <c r="O61" s="253">
        <f t="shared" si="1"/>
        <v>182505.85</v>
      </c>
    </row>
    <row r="62" spans="1:15" s="231" customFormat="1" ht="25.5" x14ac:dyDescent="0.2">
      <c r="A62" s="284" t="s">
        <v>307</v>
      </c>
      <c r="B62" s="285" t="s">
        <v>237</v>
      </c>
      <c r="C62" s="285" t="s">
        <v>205</v>
      </c>
      <c r="D62" s="286"/>
      <c r="E62" s="286">
        <v>12.2</v>
      </c>
      <c r="F62" s="286">
        <v>8.4600000000000009</v>
      </c>
      <c r="G62" s="287"/>
      <c r="H62" s="288">
        <f>SUM(D62:G62)</f>
        <v>20.66</v>
      </c>
      <c r="I62" s="289"/>
      <c r="J62" s="230"/>
      <c r="K62" s="242">
        <f t="shared" si="5"/>
        <v>0</v>
      </c>
      <c r="L62" s="242">
        <f t="shared" si="5"/>
        <v>101762.86</v>
      </c>
      <c r="M62" s="242">
        <f t="shared" si="6"/>
        <v>34601.4</v>
      </c>
      <c r="N62" s="242"/>
      <c r="O62" s="242">
        <f t="shared" si="1"/>
        <v>136364.26</v>
      </c>
    </row>
    <row r="63" spans="1:15" s="231" customFormat="1" ht="25.5" x14ac:dyDescent="0.2">
      <c r="A63" s="284" t="s">
        <v>308</v>
      </c>
      <c r="B63" s="285"/>
      <c r="C63" s="285" t="s">
        <v>207</v>
      </c>
      <c r="D63" s="286">
        <f>SUM(D64:D68)</f>
        <v>167.84</v>
      </c>
      <c r="E63" s="286">
        <f>SUM(E64:E68)</f>
        <v>29.48</v>
      </c>
      <c r="F63" s="286">
        <f>SUM(F64:F68)</f>
        <v>1011.14</v>
      </c>
      <c r="G63" s="287"/>
      <c r="H63" s="288">
        <f>SUM(D63:G63)</f>
        <v>1208.46</v>
      </c>
      <c r="I63" s="289"/>
      <c r="J63" s="230"/>
      <c r="K63" s="242">
        <f>SUM(K64:K68)</f>
        <v>1399990.03</v>
      </c>
      <c r="L63" s="242">
        <f>SUM(L64:L68)</f>
        <v>245924.13</v>
      </c>
      <c r="M63" s="242">
        <f>SUM(M64:M68)</f>
        <v>4135562.6</v>
      </c>
      <c r="N63" s="242"/>
      <c r="O63" s="242">
        <f t="shared" si="1"/>
        <v>5781476.7599999998</v>
      </c>
    </row>
    <row r="64" spans="1:15" s="255" customFormat="1" outlineLevel="1" x14ac:dyDescent="0.2">
      <c r="A64" s="246" t="s">
        <v>370</v>
      </c>
      <c r="B64" s="247" t="s">
        <v>238</v>
      </c>
      <c r="C64" s="247" t="s">
        <v>362</v>
      </c>
      <c r="D64" s="248">
        <v>90.66</v>
      </c>
      <c r="E64" s="248"/>
      <c r="F64" s="248"/>
      <c r="G64" s="249"/>
      <c r="H64" s="250"/>
      <c r="I64" s="251"/>
      <c r="J64" s="252"/>
      <c r="K64" s="253">
        <f t="shared" ref="K64:L69" si="7">((D64)*1.023*1.01-(D64)*0.023*0.15)*8.1*1000</f>
        <v>756214.82</v>
      </c>
      <c r="L64" s="253">
        <f t="shared" si="7"/>
        <v>0</v>
      </c>
      <c r="M64" s="253">
        <f t="shared" ref="M64:M69" si="8">F64*4.09*1000</f>
        <v>0</v>
      </c>
      <c r="N64" s="257"/>
      <c r="O64" s="253">
        <f t="shared" si="1"/>
        <v>756214.82</v>
      </c>
    </row>
    <row r="65" spans="1:15" s="255" customFormat="1" outlineLevel="1" x14ac:dyDescent="0.2">
      <c r="A65" s="246" t="s">
        <v>371</v>
      </c>
      <c r="B65" s="247" t="s">
        <v>238</v>
      </c>
      <c r="C65" s="247" t="s">
        <v>364</v>
      </c>
      <c r="D65" s="248"/>
      <c r="E65" s="248">
        <v>28.71</v>
      </c>
      <c r="F65" s="248">
        <v>983.09</v>
      </c>
      <c r="G65" s="249"/>
      <c r="H65" s="250"/>
      <c r="I65" s="251"/>
      <c r="J65" s="252"/>
      <c r="K65" s="253">
        <f t="shared" si="7"/>
        <v>0</v>
      </c>
      <c r="L65" s="253">
        <f t="shared" si="7"/>
        <v>239476.37</v>
      </c>
      <c r="M65" s="253">
        <f t="shared" si="8"/>
        <v>4020838.1</v>
      </c>
      <c r="N65" s="257"/>
      <c r="O65" s="253">
        <f t="shared" si="1"/>
        <v>4260314.47</v>
      </c>
    </row>
    <row r="66" spans="1:15" s="255" customFormat="1" outlineLevel="1" x14ac:dyDescent="0.2">
      <c r="A66" s="246" t="s">
        <v>372</v>
      </c>
      <c r="B66" s="247" t="s">
        <v>238</v>
      </c>
      <c r="C66" s="247" t="s">
        <v>365</v>
      </c>
      <c r="D66" s="248">
        <v>41.06</v>
      </c>
      <c r="E66" s="318">
        <v>0.77300000000000002</v>
      </c>
      <c r="F66" s="248">
        <v>13.69</v>
      </c>
      <c r="G66" s="249"/>
      <c r="H66" s="250"/>
      <c r="I66" s="251"/>
      <c r="J66" s="252"/>
      <c r="K66" s="253">
        <f t="shared" si="7"/>
        <v>342490.41</v>
      </c>
      <c r="L66" s="253">
        <f t="shared" si="7"/>
        <v>6447.76</v>
      </c>
      <c r="M66" s="253">
        <f t="shared" si="8"/>
        <v>55992.1</v>
      </c>
      <c r="N66" s="257"/>
      <c r="O66" s="253">
        <f t="shared" si="1"/>
        <v>404930.27</v>
      </c>
    </row>
    <row r="67" spans="1:15" s="255" customFormat="1" outlineLevel="1" x14ac:dyDescent="0.2">
      <c r="A67" s="246" t="s">
        <v>373</v>
      </c>
      <c r="B67" s="247" t="s">
        <v>238</v>
      </c>
      <c r="C67" s="247" t="s">
        <v>368</v>
      </c>
      <c r="D67" s="248">
        <v>0.5</v>
      </c>
      <c r="E67" s="248"/>
      <c r="F67" s="248">
        <v>14.36</v>
      </c>
      <c r="G67" s="249"/>
      <c r="H67" s="250"/>
      <c r="I67" s="251"/>
      <c r="J67" s="252"/>
      <c r="K67" s="253">
        <f t="shared" si="7"/>
        <v>4170.6099999999997</v>
      </c>
      <c r="L67" s="253">
        <f t="shared" si="7"/>
        <v>0</v>
      </c>
      <c r="M67" s="253">
        <f t="shared" si="8"/>
        <v>58732.4</v>
      </c>
      <c r="N67" s="257"/>
      <c r="O67" s="253">
        <f t="shared" si="1"/>
        <v>62903.01</v>
      </c>
    </row>
    <row r="68" spans="1:15" s="291" customFormat="1" ht="31.5" customHeight="1" outlineLevel="1" x14ac:dyDescent="0.2">
      <c r="A68" s="246" t="s">
        <v>884</v>
      </c>
      <c r="B68" s="247" t="s">
        <v>253</v>
      </c>
      <c r="C68" s="247" t="s">
        <v>254</v>
      </c>
      <c r="D68" s="248">
        <v>35.619999999999997</v>
      </c>
      <c r="E68" s="248"/>
      <c r="F68" s="248"/>
      <c r="G68" s="249"/>
      <c r="H68" s="250">
        <f>SUM(D68:G68)</f>
        <v>35.619999999999997</v>
      </c>
      <c r="I68" s="251"/>
      <c r="J68" s="290"/>
      <c r="K68" s="253">
        <f t="shared" si="7"/>
        <v>297114.19</v>
      </c>
      <c r="L68" s="253">
        <f t="shared" si="7"/>
        <v>0</v>
      </c>
      <c r="M68" s="253">
        <f t="shared" si="8"/>
        <v>0</v>
      </c>
      <c r="N68" s="253"/>
      <c r="O68" s="253">
        <f t="shared" si="1"/>
        <v>297114.19</v>
      </c>
    </row>
    <row r="69" spans="1:15" s="231" customFormat="1" ht="25.5" x14ac:dyDescent="0.2">
      <c r="A69" s="284" t="s">
        <v>309</v>
      </c>
      <c r="B69" s="285" t="s">
        <v>239</v>
      </c>
      <c r="C69" s="285" t="s">
        <v>209</v>
      </c>
      <c r="D69" s="286"/>
      <c r="E69" s="286">
        <v>51.61</v>
      </c>
      <c r="F69" s="286">
        <v>15.6</v>
      </c>
      <c r="G69" s="287"/>
      <c r="H69" s="288">
        <f>SUM(D69:G69)</f>
        <v>67.209999999999994</v>
      </c>
      <c r="I69" s="289"/>
      <c r="J69" s="230"/>
      <c r="K69" s="242">
        <f t="shared" si="7"/>
        <v>0</v>
      </c>
      <c r="L69" s="242">
        <f t="shared" si="7"/>
        <v>430490.26</v>
      </c>
      <c r="M69" s="242">
        <f t="shared" si="8"/>
        <v>63804</v>
      </c>
      <c r="N69" s="242"/>
      <c r="O69" s="242">
        <f t="shared" si="1"/>
        <v>494294.26</v>
      </c>
    </row>
    <row r="70" spans="1:15" s="231" customFormat="1" ht="24.75" customHeight="1" x14ac:dyDescent="0.2">
      <c r="A70" s="284" t="s">
        <v>310</v>
      </c>
      <c r="B70" s="285"/>
      <c r="C70" s="285" t="s">
        <v>211</v>
      </c>
      <c r="D70" s="286">
        <f>SUM(D71:D74)</f>
        <v>11977.57</v>
      </c>
      <c r="E70" s="286">
        <f>SUM(E71:E74)</f>
        <v>11.95</v>
      </c>
      <c r="F70" s="286"/>
      <c r="G70" s="287"/>
      <c r="H70" s="288">
        <f>SUM(D70:G70)</f>
        <v>11989.52</v>
      </c>
      <c r="I70" s="289"/>
      <c r="J70" s="230"/>
      <c r="K70" s="242">
        <f>SUM(K71:K74)</f>
        <v>99907522.469999999</v>
      </c>
      <c r="L70" s="242">
        <f>SUM(L71:L74)</f>
        <v>99677.56</v>
      </c>
      <c r="M70" s="242"/>
      <c r="N70" s="242"/>
      <c r="O70" s="242">
        <f t="shared" si="1"/>
        <v>100007200.03</v>
      </c>
    </row>
    <row r="71" spans="1:15" s="255" customFormat="1" outlineLevel="1" x14ac:dyDescent="0.2">
      <c r="A71" s="246" t="s">
        <v>375</v>
      </c>
      <c r="B71" s="247" t="s">
        <v>240</v>
      </c>
      <c r="C71" s="247" t="s">
        <v>374</v>
      </c>
      <c r="D71" s="248">
        <v>5490.28</v>
      </c>
      <c r="E71" s="248"/>
      <c r="F71" s="248"/>
      <c r="G71" s="249"/>
      <c r="H71" s="250"/>
      <c r="I71" s="251"/>
      <c r="J71" s="252"/>
      <c r="K71" s="253">
        <f t="shared" ref="K71:L75" si="9">((D71)*1.023*1.01-(D71)*0.023*0.15)*8.1*1000</f>
        <v>45795622.359999999</v>
      </c>
      <c r="L71" s="253">
        <f t="shared" si="9"/>
        <v>0</v>
      </c>
      <c r="M71" s="253"/>
      <c r="N71" s="257"/>
      <c r="O71" s="253">
        <f t="shared" si="1"/>
        <v>45795622.359999999</v>
      </c>
    </row>
    <row r="72" spans="1:15" s="255" customFormat="1" outlineLevel="1" x14ac:dyDescent="0.2">
      <c r="A72" s="246" t="s">
        <v>376</v>
      </c>
      <c r="B72" s="247" t="s">
        <v>240</v>
      </c>
      <c r="C72" s="247" t="s">
        <v>378</v>
      </c>
      <c r="D72" s="248">
        <v>3951.39</v>
      </c>
      <c r="E72" s="248"/>
      <c r="F72" s="248"/>
      <c r="G72" s="249"/>
      <c r="H72" s="250"/>
      <c r="I72" s="251"/>
      <c r="J72" s="252"/>
      <c r="K72" s="253">
        <f t="shared" si="9"/>
        <v>32959405.390000001</v>
      </c>
      <c r="L72" s="253">
        <f t="shared" si="9"/>
        <v>0</v>
      </c>
      <c r="M72" s="253"/>
      <c r="N72" s="257"/>
      <c r="O72" s="253">
        <f t="shared" si="1"/>
        <v>32959405.390000001</v>
      </c>
    </row>
    <row r="73" spans="1:15" s="255" customFormat="1" outlineLevel="1" x14ac:dyDescent="0.2">
      <c r="A73" s="246" t="s">
        <v>377</v>
      </c>
      <c r="B73" s="247" t="s">
        <v>240</v>
      </c>
      <c r="C73" s="247" t="s">
        <v>379</v>
      </c>
      <c r="D73" s="248">
        <v>453</v>
      </c>
      <c r="E73" s="248">
        <v>11.95</v>
      </c>
      <c r="F73" s="248"/>
      <c r="G73" s="249"/>
      <c r="H73" s="250"/>
      <c r="I73" s="251"/>
      <c r="J73" s="252"/>
      <c r="K73" s="253">
        <f t="shared" si="9"/>
        <v>3778571.75</v>
      </c>
      <c r="L73" s="253">
        <f t="shared" si="9"/>
        <v>99677.56</v>
      </c>
      <c r="M73" s="253"/>
      <c r="N73" s="257"/>
      <c r="O73" s="253">
        <f t="shared" ref="O73:O104" si="10">SUM(K73:N73)</f>
        <v>3878249.31</v>
      </c>
    </row>
    <row r="74" spans="1:15" s="291" customFormat="1" ht="31.5" customHeight="1" outlineLevel="1" x14ac:dyDescent="0.2">
      <c r="A74" s="246" t="s">
        <v>885</v>
      </c>
      <c r="B74" s="247" t="s">
        <v>255</v>
      </c>
      <c r="C74" s="247" t="s">
        <v>256</v>
      </c>
      <c r="D74" s="248">
        <v>2082.9</v>
      </c>
      <c r="E74" s="248"/>
      <c r="F74" s="248"/>
      <c r="G74" s="249"/>
      <c r="H74" s="250">
        <f>SUM(D74:G74)</f>
        <v>2082.9</v>
      </c>
      <c r="I74" s="251"/>
      <c r="J74" s="290"/>
      <c r="K74" s="253">
        <f t="shared" si="9"/>
        <v>17373922.969999999</v>
      </c>
      <c r="L74" s="253">
        <f t="shared" si="9"/>
        <v>0</v>
      </c>
      <c r="M74" s="253"/>
      <c r="N74" s="253"/>
      <c r="O74" s="253">
        <f t="shared" si="10"/>
        <v>17373922.969999999</v>
      </c>
    </row>
    <row r="75" spans="1:15" s="231" customFormat="1" ht="25.5" x14ac:dyDescent="0.2">
      <c r="A75" s="284" t="s">
        <v>311</v>
      </c>
      <c r="B75" s="285" t="s">
        <v>241</v>
      </c>
      <c r="C75" s="285" t="s">
        <v>213</v>
      </c>
      <c r="D75" s="286"/>
      <c r="E75" s="286">
        <v>166.36</v>
      </c>
      <c r="F75" s="286">
        <v>5.0599999999999996</v>
      </c>
      <c r="G75" s="287"/>
      <c r="H75" s="288">
        <f>SUM(D75:G75)</f>
        <v>171.42</v>
      </c>
      <c r="I75" s="289"/>
      <c r="J75" s="230"/>
      <c r="K75" s="242">
        <f t="shared" si="9"/>
        <v>0</v>
      </c>
      <c r="L75" s="242">
        <f t="shared" si="9"/>
        <v>1387645.03</v>
      </c>
      <c r="M75" s="242">
        <f>F75*4.09*1000</f>
        <v>20695.400000000001</v>
      </c>
      <c r="N75" s="242"/>
      <c r="O75" s="242">
        <f t="shared" si="10"/>
        <v>1408340.43</v>
      </c>
    </row>
    <row r="76" spans="1:15" s="231" customFormat="1" ht="25.5" x14ac:dyDescent="0.2">
      <c r="A76" s="284" t="s">
        <v>312</v>
      </c>
      <c r="B76" s="285" t="s">
        <v>242</v>
      </c>
      <c r="C76" s="285" t="s">
        <v>215</v>
      </c>
      <c r="D76" s="286"/>
      <c r="E76" s="286">
        <f>SUM(E77:E79)</f>
        <v>18.899999999999999</v>
      </c>
      <c r="F76" s="286">
        <f>SUM(F77:F79)</f>
        <v>30.72</v>
      </c>
      <c r="G76" s="287"/>
      <c r="H76" s="288">
        <f>SUM(D76:G76)</f>
        <v>49.62</v>
      </c>
      <c r="I76" s="289"/>
      <c r="J76" s="230"/>
      <c r="K76" s="242">
        <f>SUM(K77:K79)</f>
        <v>0</v>
      </c>
      <c r="L76" s="242">
        <f>SUM(L77:L79)</f>
        <v>157649.01999999999</v>
      </c>
      <c r="M76" s="242">
        <f>SUM(M77:M79)</f>
        <v>125644.8</v>
      </c>
      <c r="N76" s="242"/>
      <c r="O76" s="242">
        <f t="shared" si="10"/>
        <v>283293.82</v>
      </c>
    </row>
    <row r="77" spans="1:15" s="255" customFormat="1" ht="25.5" outlineLevel="1" x14ac:dyDescent="0.2">
      <c r="A77" s="246" t="s">
        <v>380</v>
      </c>
      <c r="B77" s="247"/>
      <c r="C77" s="247" t="s">
        <v>381</v>
      </c>
      <c r="D77" s="248"/>
      <c r="E77" s="248">
        <v>2.77</v>
      </c>
      <c r="F77" s="248">
        <v>5.4</v>
      </c>
      <c r="G77" s="249"/>
      <c r="H77" s="250"/>
      <c r="I77" s="251"/>
      <c r="J77" s="252"/>
      <c r="K77" s="253">
        <f t="shared" ref="K77:L79" si="11">((D77)*1.023*1.01-(D77)*0.023*0.15)*8.1*1000</f>
        <v>0</v>
      </c>
      <c r="L77" s="253">
        <f t="shared" si="11"/>
        <v>23105.17</v>
      </c>
      <c r="M77" s="253">
        <f>F77*4.09*1000</f>
        <v>22086</v>
      </c>
      <c r="N77" s="257"/>
      <c r="O77" s="253">
        <f t="shared" si="10"/>
        <v>45191.17</v>
      </c>
    </row>
    <row r="78" spans="1:15" s="255" customFormat="1" ht="25.5" outlineLevel="1" x14ac:dyDescent="0.2">
      <c r="A78" s="246" t="s">
        <v>383</v>
      </c>
      <c r="B78" s="247"/>
      <c r="C78" s="247" t="s">
        <v>382</v>
      </c>
      <c r="D78" s="248"/>
      <c r="E78" s="248">
        <v>2.3199999999999998</v>
      </c>
      <c r="F78" s="248">
        <v>4.24</v>
      </c>
      <c r="G78" s="249"/>
      <c r="H78" s="250"/>
      <c r="I78" s="251"/>
      <c r="J78" s="252"/>
      <c r="K78" s="253">
        <f t="shared" si="11"/>
        <v>0</v>
      </c>
      <c r="L78" s="253">
        <f t="shared" si="11"/>
        <v>19351.63</v>
      </c>
      <c r="M78" s="253">
        <f>F78*4.09*1000</f>
        <v>17341.599999999999</v>
      </c>
      <c r="N78" s="257"/>
      <c r="O78" s="253">
        <f t="shared" si="10"/>
        <v>36693.230000000003</v>
      </c>
    </row>
    <row r="79" spans="1:15" s="255" customFormat="1" ht="25.5" outlineLevel="1" x14ac:dyDescent="0.2">
      <c r="A79" s="246" t="s">
        <v>384</v>
      </c>
      <c r="B79" s="247"/>
      <c r="C79" s="247" t="s">
        <v>385</v>
      </c>
      <c r="D79" s="248"/>
      <c r="E79" s="248">
        <f>13.82-0.01</f>
        <v>13.81</v>
      </c>
      <c r="F79" s="248">
        <v>21.08</v>
      </c>
      <c r="G79" s="249"/>
      <c r="H79" s="250"/>
      <c r="I79" s="251"/>
      <c r="J79" s="252"/>
      <c r="K79" s="253">
        <f t="shared" si="11"/>
        <v>0</v>
      </c>
      <c r="L79" s="253">
        <f t="shared" si="11"/>
        <v>115192.22</v>
      </c>
      <c r="M79" s="253">
        <f>F79*4.09*1000</f>
        <v>86217.2</v>
      </c>
      <c r="N79" s="257"/>
      <c r="O79" s="253">
        <f t="shared" si="10"/>
        <v>201409.42</v>
      </c>
    </row>
    <row r="80" spans="1:15" s="231" customFormat="1" ht="25.5" x14ac:dyDescent="0.2">
      <c r="A80" s="284" t="s">
        <v>313</v>
      </c>
      <c r="B80" s="285" t="s">
        <v>243</v>
      </c>
      <c r="C80" s="285" t="s">
        <v>217</v>
      </c>
      <c r="D80" s="286"/>
      <c r="E80" s="286">
        <f>SUM(E81:E83)</f>
        <v>7.81</v>
      </c>
      <c r="F80" s="286">
        <f>SUM(F81:F83)</f>
        <v>29.08</v>
      </c>
      <c r="G80" s="287"/>
      <c r="H80" s="288">
        <f>SUM(D80:G80)</f>
        <v>36.89</v>
      </c>
      <c r="I80" s="289"/>
      <c r="J80" s="230"/>
      <c r="K80" s="242">
        <f>SUM(K81:K83)</f>
        <v>0</v>
      </c>
      <c r="L80" s="242">
        <f>SUM(L81:L83)</f>
        <v>65144.91</v>
      </c>
      <c r="M80" s="242">
        <f>SUM(M81:M83)</f>
        <v>118937.2</v>
      </c>
      <c r="N80" s="242"/>
      <c r="O80" s="242">
        <f t="shared" si="10"/>
        <v>184082.11</v>
      </c>
    </row>
    <row r="81" spans="1:15" s="255" customFormat="1" ht="25.5" outlineLevel="1" x14ac:dyDescent="0.2">
      <c r="A81" s="246" t="s">
        <v>386</v>
      </c>
      <c r="B81" s="247"/>
      <c r="C81" s="247" t="s">
        <v>389</v>
      </c>
      <c r="D81" s="248"/>
      <c r="E81" s="248">
        <v>3.47</v>
      </c>
      <c r="F81" s="248">
        <v>7.11</v>
      </c>
      <c r="G81" s="249"/>
      <c r="H81" s="250"/>
      <c r="I81" s="251"/>
      <c r="J81" s="252"/>
      <c r="K81" s="253">
        <f t="shared" ref="K81:L83" si="12">((D81)*1.023*1.01-(D81)*0.023*0.15)*8.1*1000</f>
        <v>0</v>
      </c>
      <c r="L81" s="253">
        <f t="shared" si="12"/>
        <v>28944.03</v>
      </c>
      <c r="M81" s="253">
        <f>F81*4.09*1000</f>
        <v>29079.9</v>
      </c>
      <c r="N81" s="257"/>
      <c r="O81" s="253">
        <f t="shared" si="10"/>
        <v>58023.93</v>
      </c>
    </row>
    <row r="82" spans="1:15" s="255" customFormat="1" ht="25.5" outlineLevel="1" x14ac:dyDescent="0.2">
      <c r="A82" s="246" t="s">
        <v>387</v>
      </c>
      <c r="B82" s="247"/>
      <c r="C82" s="247" t="s">
        <v>390</v>
      </c>
      <c r="D82" s="248"/>
      <c r="E82" s="248">
        <v>2.5299999999999998</v>
      </c>
      <c r="F82" s="248">
        <v>6.39</v>
      </c>
      <c r="G82" s="249"/>
      <c r="H82" s="250"/>
      <c r="I82" s="251"/>
      <c r="J82" s="252"/>
      <c r="K82" s="253">
        <f t="shared" si="12"/>
        <v>0</v>
      </c>
      <c r="L82" s="253">
        <f t="shared" si="12"/>
        <v>21103.279999999999</v>
      </c>
      <c r="M82" s="253">
        <f>F82*4.09*1000</f>
        <v>26135.1</v>
      </c>
      <c r="N82" s="257"/>
      <c r="O82" s="253">
        <f t="shared" si="10"/>
        <v>47238.38</v>
      </c>
    </row>
    <row r="83" spans="1:15" s="255" customFormat="1" outlineLevel="1" x14ac:dyDescent="0.2">
      <c r="A83" s="246" t="s">
        <v>388</v>
      </c>
      <c r="B83" s="247"/>
      <c r="C83" s="247" t="s">
        <v>391</v>
      </c>
      <c r="D83" s="248"/>
      <c r="E83" s="248">
        <v>1.81</v>
      </c>
      <c r="F83" s="248">
        <f>15.59-0.01</f>
        <v>15.58</v>
      </c>
      <c r="G83" s="249"/>
      <c r="H83" s="250"/>
      <c r="I83" s="251"/>
      <c r="J83" s="252"/>
      <c r="K83" s="253">
        <f t="shared" si="12"/>
        <v>0</v>
      </c>
      <c r="L83" s="253">
        <f t="shared" si="12"/>
        <v>15097.6</v>
      </c>
      <c r="M83" s="253">
        <f>F83*4.09*1000</f>
        <v>63722.2</v>
      </c>
      <c r="N83" s="257"/>
      <c r="O83" s="253">
        <f t="shared" si="10"/>
        <v>78819.8</v>
      </c>
    </row>
    <row r="84" spans="1:15" s="231" customFormat="1" ht="25.5" x14ac:dyDescent="0.2">
      <c r="A84" s="284" t="s">
        <v>314</v>
      </c>
      <c r="B84" s="285" t="s">
        <v>244</v>
      </c>
      <c r="C84" s="285" t="s">
        <v>219</v>
      </c>
      <c r="D84" s="286"/>
      <c r="E84" s="286">
        <f>SUM(E85:E86)</f>
        <v>32.270000000000003</v>
      </c>
      <c r="F84" s="286">
        <f>SUM(F85:F86)</f>
        <v>259.77</v>
      </c>
      <c r="G84" s="287"/>
      <c r="H84" s="288">
        <f>SUM(D84:G84)</f>
        <v>292.04000000000002</v>
      </c>
      <c r="I84" s="289"/>
      <c r="J84" s="230"/>
      <c r="K84" s="242">
        <f>SUM(K85:K86)</f>
        <v>0</v>
      </c>
      <c r="L84" s="242">
        <f>SUM(L85:L86)</f>
        <v>269171.11</v>
      </c>
      <c r="M84" s="242">
        <f>SUM(M85:M86)</f>
        <v>1062459.3</v>
      </c>
      <c r="N84" s="242"/>
      <c r="O84" s="242">
        <f t="shared" si="10"/>
        <v>1331630.4099999999</v>
      </c>
    </row>
    <row r="85" spans="1:15" s="255" customFormat="1" outlineLevel="1" x14ac:dyDescent="0.2">
      <c r="A85" s="246" t="s">
        <v>392</v>
      </c>
      <c r="B85" s="247"/>
      <c r="C85" s="247" t="s">
        <v>394</v>
      </c>
      <c r="D85" s="248"/>
      <c r="E85" s="248">
        <v>1.0900000000000001</v>
      </c>
      <c r="F85" s="248">
        <v>20.03</v>
      </c>
      <c r="G85" s="249"/>
      <c r="H85" s="250"/>
      <c r="I85" s="251"/>
      <c r="J85" s="252"/>
      <c r="K85" s="253">
        <f>((D85)*1.023*1.01-(D85)*0.023*0.15)*8.1*1000</f>
        <v>0</v>
      </c>
      <c r="L85" s="253">
        <f>((E85)*1.023*1.01-(E85)*0.023*0.15)*8.1*1000</f>
        <v>9091.93</v>
      </c>
      <c r="M85" s="253">
        <f>F85*4.09*1000</f>
        <v>81922.7</v>
      </c>
      <c r="N85" s="257"/>
      <c r="O85" s="253">
        <f t="shared" si="10"/>
        <v>91014.63</v>
      </c>
    </row>
    <row r="86" spans="1:15" s="255" customFormat="1" ht="25.5" outlineLevel="1" x14ac:dyDescent="0.2">
      <c r="A86" s="246" t="s">
        <v>393</v>
      </c>
      <c r="B86" s="247"/>
      <c r="C86" s="247" t="s">
        <v>395</v>
      </c>
      <c r="D86" s="248"/>
      <c r="E86" s="248">
        <v>31.18</v>
      </c>
      <c r="F86" s="248">
        <f>239.75-0.01</f>
        <v>239.74</v>
      </c>
      <c r="G86" s="249"/>
      <c r="H86" s="250"/>
      <c r="I86" s="251"/>
      <c r="J86" s="252"/>
      <c r="K86" s="253">
        <f>((D86)*1.023*1.01-(D86)*0.023*0.15)*8.1*1000</f>
        <v>0</v>
      </c>
      <c r="L86" s="253">
        <f>((E86)*1.023*1.01-(E86)*0.023*0.15)*8.1*1000</f>
        <v>260079.18</v>
      </c>
      <c r="M86" s="253">
        <f>F86*4.09*1000</f>
        <v>980536.6</v>
      </c>
      <c r="N86" s="257"/>
      <c r="O86" s="253">
        <f t="shared" si="10"/>
        <v>1240615.78</v>
      </c>
    </row>
    <row r="87" spans="1:15" s="231" customFormat="1" x14ac:dyDescent="0.2">
      <c r="A87" s="284" t="s">
        <v>315</v>
      </c>
      <c r="B87" s="285" t="s">
        <v>245</v>
      </c>
      <c r="C87" s="285" t="s">
        <v>221</v>
      </c>
      <c r="D87" s="286"/>
      <c r="E87" s="286">
        <f>SUM(E88:E90)</f>
        <v>12.45</v>
      </c>
      <c r="F87" s="286">
        <f>SUM(F88:F90)</f>
        <v>5.45</v>
      </c>
      <c r="G87" s="287"/>
      <c r="H87" s="288">
        <f>SUM(D87:G87)</f>
        <v>17.899999999999999</v>
      </c>
      <c r="I87" s="289"/>
      <c r="J87" s="230"/>
      <c r="K87" s="242">
        <f>SUM(K88:K90)</f>
        <v>0</v>
      </c>
      <c r="L87" s="242">
        <f>SUM(L88:L90)</f>
        <v>103848.16</v>
      </c>
      <c r="M87" s="242">
        <f>SUM(M88:M90)</f>
        <v>22290.5</v>
      </c>
      <c r="N87" s="242"/>
      <c r="O87" s="242">
        <f t="shared" si="10"/>
        <v>126138.66</v>
      </c>
    </row>
    <row r="88" spans="1:15" s="255" customFormat="1" ht="25.5" outlineLevel="1" x14ac:dyDescent="0.2">
      <c r="A88" s="246" t="s">
        <v>396</v>
      </c>
      <c r="B88" s="247"/>
      <c r="C88" s="247" t="s">
        <v>381</v>
      </c>
      <c r="D88" s="248"/>
      <c r="E88" s="248">
        <v>2.48</v>
      </c>
      <c r="F88" s="248">
        <v>1.37</v>
      </c>
      <c r="G88" s="249"/>
      <c r="H88" s="250"/>
      <c r="I88" s="251"/>
      <c r="J88" s="252"/>
      <c r="K88" s="253">
        <f t="shared" ref="K88:L91" si="13">((D88)*1.023*1.01-(D88)*0.023*0.15)*8.1*1000</f>
        <v>0</v>
      </c>
      <c r="L88" s="253">
        <f t="shared" si="13"/>
        <v>20686.22</v>
      </c>
      <c r="M88" s="253">
        <f>F88*4.09*1000</f>
        <v>5603.3</v>
      </c>
      <c r="N88" s="257"/>
      <c r="O88" s="253">
        <f t="shared" si="10"/>
        <v>26289.52</v>
      </c>
    </row>
    <row r="89" spans="1:15" s="255" customFormat="1" ht="24.75" customHeight="1" outlineLevel="1" x14ac:dyDescent="0.2">
      <c r="A89" s="246" t="s">
        <v>397</v>
      </c>
      <c r="B89" s="247"/>
      <c r="C89" s="247" t="s">
        <v>382</v>
      </c>
      <c r="D89" s="248"/>
      <c r="E89" s="248">
        <v>2.61</v>
      </c>
      <c r="F89" s="248">
        <v>1.36</v>
      </c>
      <c r="G89" s="249"/>
      <c r="H89" s="250"/>
      <c r="I89" s="251"/>
      <c r="J89" s="252"/>
      <c r="K89" s="253">
        <f t="shared" si="13"/>
        <v>0</v>
      </c>
      <c r="L89" s="253">
        <f t="shared" si="13"/>
        <v>21770.58</v>
      </c>
      <c r="M89" s="253">
        <f>F89*4.09*1000</f>
        <v>5562.4</v>
      </c>
      <c r="N89" s="257"/>
      <c r="O89" s="253">
        <f t="shared" si="10"/>
        <v>27332.98</v>
      </c>
    </row>
    <row r="90" spans="1:15" s="255" customFormat="1" ht="25.5" outlineLevel="1" x14ac:dyDescent="0.2">
      <c r="A90" s="246" t="s">
        <v>398</v>
      </c>
      <c r="B90" s="247"/>
      <c r="C90" s="247" t="s">
        <v>385</v>
      </c>
      <c r="D90" s="248"/>
      <c r="E90" s="248">
        <v>7.36</v>
      </c>
      <c r="F90" s="248">
        <v>2.72</v>
      </c>
      <c r="G90" s="249"/>
      <c r="H90" s="250"/>
      <c r="I90" s="251"/>
      <c r="J90" s="252"/>
      <c r="K90" s="253">
        <f t="shared" si="13"/>
        <v>0</v>
      </c>
      <c r="L90" s="253">
        <f t="shared" si="13"/>
        <v>61391.360000000001</v>
      </c>
      <c r="M90" s="253">
        <f>F90*4.09*1000</f>
        <v>11124.8</v>
      </c>
      <c r="N90" s="257"/>
      <c r="O90" s="253">
        <f t="shared" si="10"/>
        <v>72516.160000000003</v>
      </c>
    </row>
    <row r="91" spans="1:15" s="231" customFormat="1" ht="38.25" x14ac:dyDescent="0.2">
      <c r="A91" s="284" t="s">
        <v>316</v>
      </c>
      <c r="B91" s="285" t="s">
        <v>246</v>
      </c>
      <c r="C91" s="285" t="s">
        <v>880</v>
      </c>
      <c r="D91" s="286">
        <v>10.050000000000001</v>
      </c>
      <c r="E91" s="286">
        <v>169.73</v>
      </c>
      <c r="F91" s="286"/>
      <c r="G91" s="287"/>
      <c r="H91" s="288">
        <f>SUM(D91:G91)</f>
        <v>179.78</v>
      </c>
      <c r="I91" s="289"/>
      <c r="J91" s="230"/>
      <c r="K91" s="242">
        <f t="shared" si="13"/>
        <v>83829.240000000005</v>
      </c>
      <c r="L91" s="242">
        <f t="shared" si="13"/>
        <v>1415754.93</v>
      </c>
      <c r="M91" s="242">
        <f>F91*4.09*1000</f>
        <v>0</v>
      </c>
      <c r="N91" s="242"/>
      <c r="O91" s="242">
        <f t="shared" si="10"/>
        <v>1499584.17</v>
      </c>
    </row>
    <row r="92" spans="1:15" s="265" customFormat="1" ht="18" customHeight="1" x14ac:dyDescent="0.2">
      <c r="A92" s="258">
        <v>6</v>
      </c>
      <c r="B92" s="179" t="s">
        <v>37</v>
      </c>
      <c r="C92" s="179" t="s">
        <v>38</v>
      </c>
      <c r="D92" s="259">
        <f>D93+D99+D103+D108+D114+D115+D121+D122+D126+D127+D131+D135+D136+D140</f>
        <v>6999.67</v>
      </c>
      <c r="E92" s="266">
        <f>E93+E99+E103+E108+E114+E115+E121+E122+E126+E127+E131+E135+E136+E140</f>
        <v>1809.76</v>
      </c>
      <c r="F92" s="266">
        <f>F93+F99+F103+F108+F114+F115+F121+F122+F126+F127+F131+F135+F136+F140</f>
        <v>1754.15</v>
      </c>
      <c r="G92" s="266"/>
      <c r="H92" s="266">
        <f>SUM(D92:G92)</f>
        <v>10563.58</v>
      </c>
      <c r="I92" s="262"/>
      <c r="J92" s="263"/>
      <c r="K92" s="264">
        <f>K93+K99+K103+K108+K114+K115+K121+K122+K126+K127+K131+K135+K136+K140</f>
        <v>58385773.399999999</v>
      </c>
      <c r="L92" s="264">
        <f>L93+L99+L103+L108+L114+L115+L121+L122+L126+L127+L131+L135+L136+L140</f>
        <v>15095602.699999999</v>
      </c>
      <c r="M92" s="264">
        <f>M93+M99+M103+M108+M114+M115+M121+M122+M126+M127+M131+M135+M136+M140</f>
        <v>7174473.5</v>
      </c>
      <c r="N92" s="264"/>
      <c r="O92" s="264">
        <f t="shared" si="10"/>
        <v>80655849.599999994</v>
      </c>
    </row>
    <row r="93" spans="1:15" s="231" customFormat="1" x14ac:dyDescent="0.2">
      <c r="A93" s="284" t="s">
        <v>257</v>
      </c>
      <c r="B93" s="285" t="s">
        <v>196</v>
      </c>
      <c r="C93" s="285" t="s">
        <v>197</v>
      </c>
      <c r="D93" s="286">
        <f>SUM(D94:D98)</f>
        <v>3309.67</v>
      </c>
      <c r="E93" s="286"/>
      <c r="F93" s="286"/>
      <c r="G93" s="287"/>
      <c r="H93" s="288">
        <f>SUM(D93:G93)</f>
        <v>3309.67</v>
      </c>
      <c r="I93" s="289"/>
      <c r="J93" s="230"/>
      <c r="K93" s="242">
        <f>SUM(K94:K98)</f>
        <v>27606678.969999999</v>
      </c>
      <c r="L93" s="242"/>
      <c r="M93" s="242"/>
      <c r="N93" s="242"/>
      <c r="O93" s="242">
        <f t="shared" si="10"/>
        <v>27606678.969999999</v>
      </c>
    </row>
    <row r="94" spans="1:15" s="291" customFormat="1" outlineLevel="1" x14ac:dyDescent="0.2">
      <c r="A94" s="246" t="s">
        <v>410</v>
      </c>
      <c r="B94" s="247"/>
      <c r="C94" s="247" t="s">
        <v>409</v>
      </c>
      <c r="D94" s="248">
        <v>301.02999999999997</v>
      </c>
      <c r="E94" s="248"/>
      <c r="F94" s="248"/>
      <c r="G94" s="249"/>
      <c r="H94" s="250"/>
      <c r="I94" s="251"/>
      <c r="J94" s="290"/>
      <c r="K94" s="253">
        <f>((D94)*1.023*1.01-(D94)*0.023*0.15)*8.1*1000</f>
        <v>2510956.85</v>
      </c>
      <c r="L94" s="253"/>
      <c r="M94" s="253"/>
      <c r="N94" s="253"/>
      <c r="O94" s="253">
        <f t="shared" si="10"/>
        <v>2510956.85</v>
      </c>
    </row>
    <row r="95" spans="1:15" s="291" customFormat="1" outlineLevel="1" x14ac:dyDescent="0.2">
      <c r="A95" s="246" t="s">
        <v>413</v>
      </c>
      <c r="B95" s="247"/>
      <c r="C95" s="247" t="s">
        <v>411</v>
      </c>
      <c r="D95" s="248">
        <v>673.37</v>
      </c>
      <c r="E95" s="248"/>
      <c r="F95" s="248"/>
      <c r="G95" s="249"/>
      <c r="H95" s="250"/>
      <c r="I95" s="251"/>
      <c r="J95" s="290"/>
      <c r="K95" s="253">
        <f>((D95)*1.023*1.01-(D95)*0.023*0.15)*8.1*1000</f>
        <v>5616725.96</v>
      </c>
      <c r="L95" s="253"/>
      <c r="M95" s="253"/>
      <c r="N95" s="253"/>
      <c r="O95" s="253">
        <f t="shared" si="10"/>
        <v>5616725.96</v>
      </c>
    </row>
    <row r="96" spans="1:15" s="291" customFormat="1" outlineLevel="1" x14ac:dyDescent="0.2">
      <c r="A96" s="246" t="s">
        <v>414</v>
      </c>
      <c r="B96" s="247"/>
      <c r="C96" s="247" t="s">
        <v>412</v>
      </c>
      <c r="D96" s="248">
        <v>1282.97</v>
      </c>
      <c r="E96" s="248"/>
      <c r="F96" s="248"/>
      <c r="G96" s="249"/>
      <c r="H96" s="250"/>
      <c r="I96" s="251"/>
      <c r="J96" s="290"/>
      <c r="K96" s="253">
        <f>((D96)*1.023*1.01-(D96)*0.023*0.15)*8.1*1000</f>
        <v>10701532.460000001</v>
      </c>
      <c r="L96" s="253"/>
      <c r="M96" s="253"/>
      <c r="N96" s="253"/>
      <c r="O96" s="253">
        <f t="shared" si="10"/>
        <v>10701532.460000001</v>
      </c>
    </row>
    <row r="97" spans="1:15" s="291" customFormat="1" outlineLevel="1" x14ac:dyDescent="0.2">
      <c r="A97" s="246" t="s">
        <v>415</v>
      </c>
      <c r="B97" s="247"/>
      <c r="C97" s="247" t="s">
        <v>347</v>
      </c>
      <c r="D97" s="248">
        <v>357.03</v>
      </c>
      <c r="E97" s="248"/>
      <c r="F97" s="248"/>
      <c r="G97" s="249"/>
      <c r="H97" s="250"/>
      <c r="I97" s="251"/>
      <c r="J97" s="290"/>
      <c r="K97" s="253">
        <f>((D97)*1.023*1.01-(D97)*0.023*0.15)*8.1*1000</f>
        <v>2978065.06</v>
      </c>
      <c r="L97" s="253"/>
      <c r="M97" s="253"/>
      <c r="N97" s="253"/>
      <c r="O97" s="253">
        <f t="shared" si="10"/>
        <v>2978065.06</v>
      </c>
    </row>
    <row r="98" spans="1:15" s="291" customFormat="1" ht="25.5" outlineLevel="1" x14ac:dyDescent="0.2">
      <c r="A98" s="246" t="s">
        <v>886</v>
      </c>
      <c r="B98" s="247" t="s">
        <v>223</v>
      </c>
      <c r="C98" s="247" t="s">
        <v>224</v>
      </c>
      <c r="D98" s="248">
        <v>695.27</v>
      </c>
      <c r="E98" s="248"/>
      <c r="F98" s="248"/>
      <c r="G98" s="249"/>
      <c r="H98" s="250">
        <f>SUM(D98:G98)</f>
        <v>695.27</v>
      </c>
      <c r="I98" s="251"/>
      <c r="J98" s="290"/>
      <c r="K98" s="253">
        <f>((D98)*1.023*1.01-(D98)*0.023*0.15)*8.1*1000</f>
        <v>5799398.6399999997</v>
      </c>
      <c r="L98" s="253"/>
      <c r="M98" s="253"/>
      <c r="N98" s="253"/>
      <c r="O98" s="253">
        <f t="shared" si="10"/>
        <v>5799398.6399999997</v>
      </c>
    </row>
    <row r="99" spans="1:15" s="231" customFormat="1" ht="25.5" x14ac:dyDescent="0.2">
      <c r="A99" s="284" t="s">
        <v>258</v>
      </c>
      <c r="B99" s="285" t="s">
        <v>198</v>
      </c>
      <c r="C99" s="285" t="s">
        <v>199</v>
      </c>
      <c r="D99" s="286">
        <f>SUM(D100:D102)</f>
        <v>1002.93</v>
      </c>
      <c r="E99" s="286">
        <f>SUM(E100:E102)</f>
        <v>843.99</v>
      </c>
      <c r="F99" s="286">
        <f>SUM(F100:F102)</f>
        <v>0</v>
      </c>
      <c r="G99" s="287"/>
      <c r="H99" s="288">
        <f>SUM(D99:G99)</f>
        <v>1846.92</v>
      </c>
      <c r="I99" s="289"/>
      <c r="J99" s="230"/>
      <c r="K99" s="242">
        <f>SUM(K100:K102)</f>
        <v>8365657.7699999996</v>
      </c>
      <c r="L99" s="242">
        <f>SUM(L100:L102)</f>
        <v>7039904.5800000001</v>
      </c>
      <c r="M99" s="242">
        <f>SUM(M100:M102)</f>
        <v>0</v>
      </c>
      <c r="N99" s="242"/>
      <c r="O99" s="242">
        <f t="shared" si="10"/>
        <v>15405562.35</v>
      </c>
    </row>
    <row r="100" spans="1:15" s="291" customFormat="1" ht="25.5" outlineLevel="1" x14ac:dyDescent="0.2">
      <c r="A100" s="246" t="s">
        <v>416</v>
      </c>
      <c r="B100" s="247"/>
      <c r="C100" s="247" t="s">
        <v>351</v>
      </c>
      <c r="D100" s="248">
        <v>925.92</v>
      </c>
      <c r="E100" s="248"/>
      <c r="F100" s="248"/>
      <c r="G100" s="249"/>
      <c r="H100" s="250"/>
      <c r="I100" s="251"/>
      <c r="J100" s="290"/>
      <c r="K100" s="253">
        <f t="shared" ref="K100:L102" si="14">((D100)*1.023*1.01-(D100)*0.023*0.15)*8.1*1000</f>
        <v>7723300.5700000003</v>
      </c>
      <c r="L100" s="253">
        <f t="shared" si="14"/>
        <v>0</v>
      </c>
      <c r="M100" s="253">
        <f>F100*4.09*1000</f>
        <v>0</v>
      </c>
      <c r="N100" s="253"/>
      <c r="O100" s="253">
        <f t="shared" si="10"/>
        <v>7723300.5700000003</v>
      </c>
    </row>
    <row r="101" spans="1:15" s="291" customFormat="1" outlineLevel="1" x14ac:dyDescent="0.2">
      <c r="A101" s="246" t="s">
        <v>418</v>
      </c>
      <c r="B101" s="247"/>
      <c r="C101" s="247" t="s">
        <v>417</v>
      </c>
      <c r="D101" s="248">
        <v>77.010000000000005</v>
      </c>
      <c r="E101" s="248">
        <v>843.99</v>
      </c>
      <c r="F101" s="248"/>
      <c r="G101" s="249"/>
      <c r="H101" s="250"/>
      <c r="I101" s="251"/>
      <c r="J101" s="290"/>
      <c r="K101" s="253">
        <f t="shared" si="14"/>
        <v>642357.19999999995</v>
      </c>
      <c r="L101" s="253">
        <f t="shared" si="14"/>
        <v>7039904.5800000001</v>
      </c>
      <c r="M101" s="253">
        <f>F101*4.09*1000</f>
        <v>0</v>
      </c>
      <c r="N101" s="253"/>
      <c r="O101" s="253">
        <f t="shared" si="10"/>
        <v>7682261.7800000003</v>
      </c>
    </row>
    <row r="102" spans="1:15" s="291" customFormat="1" ht="15" outlineLevel="1" x14ac:dyDescent="0.2">
      <c r="A102" s="246" t="s">
        <v>419</v>
      </c>
      <c r="B102" s="247"/>
      <c r="C102" s="247" t="s">
        <v>891</v>
      </c>
      <c r="D102" s="248"/>
      <c r="E102" s="248"/>
      <c r="F102" s="172">
        <f>1050000000/1.2/4.09/1000*0</f>
        <v>0</v>
      </c>
      <c r="G102" s="249"/>
      <c r="H102" s="250"/>
      <c r="I102" s="251">
        <f>F102*4.09*1.02*1.2</f>
        <v>0</v>
      </c>
      <c r="J102" s="290"/>
      <c r="K102" s="253">
        <f t="shared" si="14"/>
        <v>0</v>
      </c>
      <c r="L102" s="253">
        <f t="shared" si="14"/>
        <v>0</v>
      </c>
      <c r="M102" s="162">
        <f>F102*1000*4.09</f>
        <v>0</v>
      </c>
      <c r="N102" s="253"/>
      <c r="O102" s="253">
        <f t="shared" si="10"/>
        <v>0</v>
      </c>
    </row>
    <row r="103" spans="1:15" s="231" customFormat="1" ht="20.25" customHeight="1" x14ac:dyDescent="0.2">
      <c r="A103" s="284" t="s">
        <v>259</v>
      </c>
      <c r="B103" s="285" t="s">
        <v>200</v>
      </c>
      <c r="C103" s="285" t="s">
        <v>201</v>
      </c>
      <c r="D103" s="286">
        <f>SUM(D104:D107)</f>
        <v>2.68</v>
      </c>
      <c r="E103" s="286">
        <f>SUM(E104:E107)</f>
        <v>492.25</v>
      </c>
      <c r="F103" s="286"/>
      <c r="G103" s="287"/>
      <c r="H103" s="288">
        <f t="shared" ref="H103:H122" si="15">SUM(D103:G103)</f>
        <v>494.93</v>
      </c>
      <c r="I103" s="289"/>
      <c r="J103" s="230"/>
      <c r="K103" s="286">
        <f>SUM(K104:K107)</f>
        <v>22354.47</v>
      </c>
      <c r="L103" s="286">
        <f>SUM(L104:L107)</f>
        <v>4105964.56</v>
      </c>
      <c r="M103" s="242"/>
      <c r="N103" s="242"/>
      <c r="O103" s="242">
        <f t="shared" si="10"/>
        <v>4128319.03</v>
      </c>
    </row>
    <row r="104" spans="1:15" s="291" customFormat="1" ht="20.25" customHeight="1" outlineLevel="1" x14ac:dyDescent="0.2">
      <c r="A104" s="246" t="s">
        <v>420</v>
      </c>
      <c r="B104" s="247"/>
      <c r="C104" s="247" t="s">
        <v>356</v>
      </c>
      <c r="D104" s="248">
        <v>0.9</v>
      </c>
      <c r="E104" s="248">
        <v>81.42</v>
      </c>
      <c r="F104" s="248"/>
      <c r="G104" s="249"/>
      <c r="H104" s="250">
        <f t="shared" si="15"/>
        <v>82.32</v>
      </c>
      <c r="I104" s="251"/>
      <c r="J104" s="290"/>
      <c r="K104" s="253">
        <f t="shared" ref="K104:L107" si="16">((D104)*1.023*1.01-(D104)*0.023*0.15)*8.1*1000</f>
        <v>7507.1</v>
      </c>
      <c r="L104" s="253">
        <f t="shared" si="16"/>
        <v>679141.97</v>
      </c>
      <c r="M104" s="253"/>
      <c r="N104" s="253"/>
      <c r="O104" s="253">
        <f t="shared" si="10"/>
        <v>686649.07</v>
      </c>
    </row>
    <row r="105" spans="1:15" s="291" customFormat="1" ht="20.25" customHeight="1" outlineLevel="1" x14ac:dyDescent="0.2">
      <c r="A105" s="246" t="s">
        <v>422</v>
      </c>
      <c r="B105" s="247"/>
      <c r="C105" s="247" t="s">
        <v>421</v>
      </c>
      <c r="D105" s="248">
        <v>1.34</v>
      </c>
      <c r="E105" s="248">
        <v>55.84</v>
      </c>
      <c r="F105" s="248"/>
      <c r="G105" s="249"/>
      <c r="H105" s="250">
        <f t="shared" si="15"/>
        <v>57.18</v>
      </c>
      <c r="I105" s="251"/>
      <c r="J105" s="290"/>
      <c r="K105" s="253">
        <f t="shared" si="16"/>
        <v>11177.23</v>
      </c>
      <c r="L105" s="253">
        <f t="shared" si="16"/>
        <v>465773.61</v>
      </c>
      <c r="M105" s="253"/>
      <c r="N105" s="253"/>
      <c r="O105" s="253">
        <f t="shared" ref="O105:O136" si="17">SUM(K105:N105)</f>
        <v>476950.84</v>
      </c>
    </row>
    <row r="106" spans="1:15" s="291" customFormat="1" ht="20.25" customHeight="1" outlineLevel="1" x14ac:dyDescent="0.2">
      <c r="A106" s="246" t="s">
        <v>423</v>
      </c>
      <c r="B106" s="247"/>
      <c r="C106" s="247" t="s">
        <v>361</v>
      </c>
      <c r="D106" s="248"/>
      <c r="E106" s="248">
        <v>354.99</v>
      </c>
      <c r="F106" s="248"/>
      <c r="G106" s="249"/>
      <c r="H106" s="250">
        <f t="shared" si="15"/>
        <v>354.99</v>
      </c>
      <c r="I106" s="251"/>
      <c r="J106" s="290"/>
      <c r="K106" s="253">
        <f t="shared" si="16"/>
        <v>0</v>
      </c>
      <c r="L106" s="253">
        <f t="shared" si="16"/>
        <v>2961048.98</v>
      </c>
      <c r="M106" s="253"/>
      <c r="N106" s="253"/>
      <c r="O106" s="253">
        <f t="shared" si="17"/>
        <v>2961048.98</v>
      </c>
    </row>
    <row r="107" spans="1:15" s="291" customFormat="1" ht="25.5" outlineLevel="1" x14ac:dyDescent="0.2">
      <c r="A107" s="246" t="s">
        <v>887</v>
      </c>
      <c r="B107" s="247" t="s">
        <v>225</v>
      </c>
      <c r="C107" s="247" t="s">
        <v>226</v>
      </c>
      <c r="D107" s="248">
        <v>0.44</v>
      </c>
      <c r="E107" s="248"/>
      <c r="F107" s="248"/>
      <c r="G107" s="249"/>
      <c r="H107" s="250">
        <f t="shared" si="15"/>
        <v>0.44</v>
      </c>
      <c r="I107" s="251"/>
      <c r="J107" s="290"/>
      <c r="K107" s="253">
        <f t="shared" si="16"/>
        <v>3670.14</v>
      </c>
      <c r="L107" s="253">
        <f t="shared" si="16"/>
        <v>0</v>
      </c>
      <c r="M107" s="253"/>
      <c r="N107" s="253"/>
      <c r="O107" s="253">
        <f t="shared" si="17"/>
        <v>3670.14</v>
      </c>
    </row>
    <row r="108" spans="1:15" s="231" customFormat="1" ht="25.5" x14ac:dyDescent="0.2">
      <c r="A108" s="284" t="s">
        <v>260</v>
      </c>
      <c r="B108" s="285" t="s">
        <v>202</v>
      </c>
      <c r="C108" s="285" t="s">
        <v>203</v>
      </c>
      <c r="D108" s="286">
        <f>SUM(D109:D113)</f>
        <v>83.43</v>
      </c>
      <c r="E108" s="286">
        <f>SUM(E109:E113)</f>
        <v>20.46</v>
      </c>
      <c r="F108" s="286">
        <f>SUM(F109:F113)</f>
        <v>639.39</v>
      </c>
      <c r="G108" s="287"/>
      <c r="H108" s="288">
        <f t="shared" si="15"/>
        <v>743.28</v>
      </c>
      <c r="I108" s="289"/>
      <c r="J108" s="230"/>
      <c r="K108" s="286">
        <f>SUM(K109:K113)</f>
        <v>695907.81</v>
      </c>
      <c r="L108" s="286">
        <f>SUM(L109:L113)</f>
        <v>170661.32</v>
      </c>
      <c r="M108" s="286">
        <f>SUM(M109:M113)</f>
        <v>2615105.1</v>
      </c>
      <c r="N108" s="242"/>
      <c r="O108" s="242">
        <f t="shared" si="17"/>
        <v>3481674.23</v>
      </c>
    </row>
    <row r="109" spans="1:15" s="291" customFormat="1" outlineLevel="1" x14ac:dyDescent="0.2">
      <c r="A109" s="246" t="s">
        <v>424</v>
      </c>
      <c r="B109" s="247"/>
      <c r="C109" s="247" t="s">
        <v>362</v>
      </c>
      <c r="D109" s="248">
        <v>58.26</v>
      </c>
      <c r="E109" s="248"/>
      <c r="F109" s="248"/>
      <c r="G109" s="249"/>
      <c r="H109" s="250">
        <f t="shared" si="15"/>
        <v>58.26</v>
      </c>
      <c r="I109" s="251"/>
      <c r="J109" s="290"/>
      <c r="K109" s="253">
        <f t="shared" ref="K109:L114" si="18">((D109)*1.023*1.01-(D109)*0.023*0.15)*8.1*1000</f>
        <v>485959.36</v>
      </c>
      <c r="L109" s="253">
        <f t="shared" si="18"/>
        <v>0</v>
      </c>
      <c r="M109" s="253">
        <f t="shared" ref="M109:M114" si="19">F109*4.09*1000</f>
        <v>0</v>
      </c>
      <c r="N109" s="253"/>
      <c r="O109" s="253">
        <f t="shared" si="17"/>
        <v>485959.36</v>
      </c>
    </row>
    <row r="110" spans="1:15" s="291" customFormat="1" outlineLevel="1" x14ac:dyDescent="0.2">
      <c r="A110" s="246" t="s">
        <v>425</v>
      </c>
      <c r="B110" s="247"/>
      <c r="C110" s="247" t="s">
        <v>364</v>
      </c>
      <c r="D110" s="248"/>
      <c r="E110" s="248">
        <v>20.13</v>
      </c>
      <c r="F110" s="248">
        <f>612.27-0.01</f>
        <v>612.26</v>
      </c>
      <c r="G110" s="249"/>
      <c r="H110" s="250">
        <f t="shared" si="15"/>
        <v>632.39</v>
      </c>
      <c r="I110" s="251"/>
      <c r="J110" s="290"/>
      <c r="K110" s="253">
        <f t="shared" si="18"/>
        <v>0</v>
      </c>
      <c r="L110" s="253">
        <f t="shared" si="18"/>
        <v>167908.72</v>
      </c>
      <c r="M110" s="253">
        <f t="shared" si="19"/>
        <v>2504143.4</v>
      </c>
      <c r="N110" s="253"/>
      <c r="O110" s="253">
        <f t="shared" si="17"/>
        <v>2672052.12</v>
      </c>
    </row>
    <row r="111" spans="1:15" s="291" customFormat="1" outlineLevel="1" x14ac:dyDescent="0.2">
      <c r="A111" s="246" t="s">
        <v>426</v>
      </c>
      <c r="B111" s="247"/>
      <c r="C111" s="247" t="s">
        <v>365</v>
      </c>
      <c r="D111" s="248">
        <v>2.82</v>
      </c>
      <c r="E111" s="248">
        <v>0.33</v>
      </c>
      <c r="F111" s="248">
        <v>12.98</v>
      </c>
      <c r="G111" s="249"/>
      <c r="H111" s="250">
        <f t="shared" si="15"/>
        <v>16.13</v>
      </c>
      <c r="I111" s="251"/>
      <c r="J111" s="290"/>
      <c r="K111" s="253">
        <f t="shared" si="18"/>
        <v>23522.23</v>
      </c>
      <c r="L111" s="253">
        <f t="shared" si="18"/>
        <v>2752.6</v>
      </c>
      <c r="M111" s="253">
        <f t="shared" si="19"/>
        <v>53088.2</v>
      </c>
      <c r="N111" s="253"/>
      <c r="O111" s="253">
        <f t="shared" si="17"/>
        <v>79363.03</v>
      </c>
    </row>
    <row r="112" spans="1:15" s="291" customFormat="1" outlineLevel="1" x14ac:dyDescent="0.2">
      <c r="A112" s="246" t="s">
        <v>427</v>
      </c>
      <c r="B112" s="247"/>
      <c r="C112" s="247" t="s">
        <v>368</v>
      </c>
      <c r="D112" s="248">
        <v>0.47</v>
      </c>
      <c r="E112" s="248"/>
      <c r="F112" s="248">
        <v>14.15</v>
      </c>
      <c r="G112" s="249"/>
      <c r="H112" s="250">
        <f t="shared" si="15"/>
        <v>14.62</v>
      </c>
      <c r="I112" s="251"/>
      <c r="J112" s="290"/>
      <c r="K112" s="253">
        <f t="shared" si="18"/>
        <v>3920.37</v>
      </c>
      <c r="L112" s="253">
        <f t="shared" si="18"/>
        <v>0</v>
      </c>
      <c r="M112" s="253">
        <f t="shared" si="19"/>
        <v>57873.5</v>
      </c>
      <c r="N112" s="253"/>
      <c r="O112" s="253">
        <f t="shared" si="17"/>
        <v>61793.87</v>
      </c>
    </row>
    <row r="113" spans="1:15" s="291" customFormat="1" ht="25.5" outlineLevel="1" x14ac:dyDescent="0.2">
      <c r="A113" s="246" t="s">
        <v>888</v>
      </c>
      <c r="B113" s="247" t="s">
        <v>227</v>
      </c>
      <c r="C113" s="247" t="s">
        <v>228</v>
      </c>
      <c r="D113" s="248">
        <v>21.88</v>
      </c>
      <c r="E113" s="248"/>
      <c r="F113" s="248"/>
      <c r="G113" s="249"/>
      <c r="H113" s="250">
        <f t="shared" si="15"/>
        <v>21.88</v>
      </c>
      <c r="I113" s="251"/>
      <c r="J113" s="290"/>
      <c r="K113" s="253">
        <f t="shared" si="18"/>
        <v>182505.85</v>
      </c>
      <c r="L113" s="253">
        <f t="shared" si="18"/>
        <v>0</v>
      </c>
      <c r="M113" s="253">
        <f t="shared" si="19"/>
        <v>0</v>
      </c>
      <c r="N113" s="253"/>
      <c r="O113" s="253">
        <f t="shared" si="17"/>
        <v>182505.85</v>
      </c>
    </row>
    <row r="114" spans="1:15" s="231" customFormat="1" ht="25.5" x14ac:dyDescent="0.2">
      <c r="A114" s="284" t="s">
        <v>261</v>
      </c>
      <c r="B114" s="285" t="s">
        <v>204</v>
      </c>
      <c r="C114" s="285" t="s">
        <v>205</v>
      </c>
      <c r="D114" s="286"/>
      <c r="E114" s="286">
        <v>10.8</v>
      </c>
      <c r="F114" s="286">
        <v>6.35</v>
      </c>
      <c r="G114" s="287"/>
      <c r="H114" s="288">
        <f t="shared" si="15"/>
        <v>17.149999999999999</v>
      </c>
      <c r="I114" s="289"/>
      <c r="J114" s="230"/>
      <c r="K114" s="242">
        <f t="shared" si="18"/>
        <v>0</v>
      </c>
      <c r="L114" s="242">
        <f t="shared" si="18"/>
        <v>90085.15</v>
      </c>
      <c r="M114" s="242">
        <f t="shared" si="19"/>
        <v>25971.5</v>
      </c>
      <c r="N114" s="242"/>
      <c r="O114" s="242">
        <f t="shared" si="17"/>
        <v>116056.65</v>
      </c>
    </row>
    <row r="115" spans="1:15" s="231" customFormat="1" ht="25.5" x14ac:dyDescent="0.2">
      <c r="A115" s="284" t="s">
        <v>262</v>
      </c>
      <c r="B115" s="285" t="s">
        <v>206</v>
      </c>
      <c r="C115" s="285" t="s">
        <v>207</v>
      </c>
      <c r="D115" s="286">
        <f>SUM(D116:D120)</f>
        <v>145.15</v>
      </c>
      <c r="E115" s="286">
        <f>SUM(E116:E120)</f>
        <v>29.1</v>
      </c>
      <c r="F115" s="286">
        <f>SUM(F116:F120)</f>
        <v>1010.4</v>
      </c>
      <c r="G115" s="287"/>
      <c r="H115" s="288">
        <f t="shared" si="15"/>
        <v>1184.6500000000001</v>
      </c>
      <c r="I115" s="289"/>
      <c r="J115" s="230"/>
      <c r="K115" s="286">
        <f>SUM(K116:K120)</f>
        <v>1210727.8</v>
      </c>
      <c r="L115" s="286">
        <f>SUM(L116:L120)</f>
        <v>242729.45</v>
      </c>
      <c r="M115" s="286">
        <f>SUM(M116:M120)</f>
        <v>4132536</v>
      </c>
      <c r="N115" s="242"/>
      <c r="O115" s="242">
        <f t="shared" si="17"/>
        <v>5585993.25</v>
      </c>
    </row>
    <row r="116" spans="1:15" s="291" customFormat="1" outlineLevel="1" x14ac:dyDescent="0.2">
      <c r="A116" s="246" t="s">
        <v>428</v>
      </c>
      <c r="B116" s="247"/>
      <c r="C116" s="247" t="s">
        <v>362</v>
      </c>
      <c r="D116" s="248">
        <f>92.5+0.01</f>
        <v>92.51</v>
      </c>
      <c r="E116" s="248"/>
      <c r="F116" s="248"/>
      <c r="G116" s="249"/>
      <c r="H116" s="250">
        <f t="shared" si="15"/>
        <v>92.51</v>
      </c>
      <c r="I116" s="251"/>
      <c r="J116" s="290"/>
      <c r="K116" s="253">
        <f t="shared" ref="K116:L121" si="20">((D116)*1.023*1.01-(D116)*0.023*0.15)*8.1*1000</f>
        <v>771646.08</v>
      </c>
      <c r="L116" s="253">
        <f t="shared" si="20"/>
        <v>0</v>
      </c>
      <c r="M116" s="253">
        <f t="shared" ref="M116:M121" si="21">F116*4.09*1000</f>
        <v>0</v>
      </c>
      <c r="N116" s="253"/>
      <c r="O116" s="253">
        <f t="shared" si="17"/>
        <v>771646.08</v>
      </c>
    </row>
    <row r="117" spans="1:15" s="291" customFormat="1" outlineLevel="1" x14ac:dyDescent="0.2">
      <c r="A117" s="246" t="s">
        <v>429</v>
      </c>
      <c r="B117" s="247"/>
      <c r="C117" s="247" t="s">
        <v>364</v>
      </c>
      <c r="D117" s="248"/>
      <c r="E117" s="248">
        <v>28.51</v>
      </c>
      <c r="F117" s="248">
        <f>983.09+0.01</f>
        <v>983.1</v>
      </c>
      <c r="G117" s="249"/>
      <c r="H117" s="250">
        <f t="shared" si="15"/>
        <v>1011.61</v>
      </c>
      <c r="I117" s="251"/>
      <c r="J117" s="290"/>
      <c r="K117" s="253">
        <f t="shared" si="20"/>
        <v>0</v>
      </c>
      <c r="L117" s="253">
        <f t="shared" si="20"/>
        <v>237808.13</v>
      </c>
      <c r="M117" s="253">
        <f t="shared" si="21"/>
        <v>4020879</v>
      </c>
      <c r="N117" s="253"/>
      <c r="O117" s="253">
        <f t="shared" si="17"/>
        <v>4258687.13</v>
      </c>
    </row>
    <row r="118" spans="1:15" s="291" customFormat="1" outlineLevel="1" x14ac:dyDescent="0.2">
      <c r="A118" s="246" t="s">
        <v>430</v>
      </c>
      <c r="B118" s="247"/>
      <c r="C118" s="247" t="s">
        <v>365</v>
      </c>
      <c r="D118" s="248">
        <v>16.29</v>
      </c>
      <c r="E118" s="248">
        <v>0.59</v>
      </c>
      <c r="F118" s="248">
        <v>13.69</v>
      </c>
      <c r="G118" s="249"/>
      <c r="H118" s="250">
        <f t="shared" si="15"/>
        <v>30.57</v>
      </c>
      <c r="I118" s="251"/>
      <c r="J118" s="290"/>
      <c r="K118" s="253">
        <f t="shared" si="20"/>
        <v>135878.44</v>
      </c>
      <c r="L118" s="253">
        <f t="shared" si="20"/>
        <v>4921.32</v>
      </c>
      <c r="M118" s="253">
        <f t="shared" si="21"/>
        <v>55992.1</v>
      </c>
      <c r="N118" s="253"/>
      <c r="O118" s="253">
        <f t="shared" si="17"/>
        <v>196791.86</v>
      </c>
    </row>
    <row r="119" spans="1:15" s="291" customFormat="1" outlineLevel="1" x14ac:dyDescent="0.2">
      <c r="A119" s="246" t="s">
        <v>431</v>
      </c>
      <c r="B119" s="247"/>
      <c r="C119" s="247" t="s">
        <v>368</v>
      </c>
      <c r="D119" s="248">
        <v>0.5</v>
      </c>
      <c r="E119" s="248"/>
      <c r="F119" s="248">
        <v>13.61</v>
      </c>
      <c r="G119" s="249"/>
      <c r="H119" s="250">
        <f t="shared" si="15"/>
        <v>14.11</v>
      </c>
      <c r="I119" s="251"/>
      <c r="J119" s="290"/>
      <c r="K119" s="253">
        <f t="shared" si="20"/>
        <v>4170.6099999999997</v>
      </c>
      <c r="L119" s="253">
        <f t="shared" si="20"/>
        <v>0</v>
      </c>
      <c r="M119" s="253">
        <f t="shared" si="21"/>
        <v>55664.9</v>
      </c>
      <c r="N119" s="253"/>
      <c r="O119" s="253">
        <f t="shared" si="17"/>
        <v>59835.51</v>
      </c>
    </row>
    <row r="120" spans="1:15" s="291" customFormat="1" ht="25.5" outlineLevel="1" x14ac:dyDescent="0.2">
      <c r="A120" s="246" t="s">
        <v>889</v>
      </c>
      <c r="B120" s="247" t="s">
        <v>229</v>
      </c>
      <c r="C120" s="247" t="s">
        <v>230</v>
      </c>
      <c r="D120" s="248">
        <v>35.85</v>
      </c>
      <c r="E120" s="248"/>
      <c r="F120" s="248"/>
      <c r="G120" s="249"/>
      <c r="H120" s="250">
        <f t="shared" si="15"/>
        <v>35.85</v>
      </c>
      <c r="I120" s="251"/>
      <c r="J120" s="290"/>
      <c r="K120" s="253">
        <f t="shared" si="20"/>
        <v>299032.67</v>
      </c>
      <c r="L120" s="253">
        <f t="shared" si="20"/>
        <v>0</v>
      </c>
      <c r="M120" s="253">
        <f t="shared" si="21"/>
        <v>0</v>
      </c>
      <c r="N120" s="253"/>
      <c r="O120" s="253">
        <f t="shared" si="17"/>
        <v>299032.67</v>
      </c>
    </row>
    <row r="121" spans="1:15" s="231" customFormat="1" ht="25.5" x14ac:dyDescent="0.2">
      <c r="A121" s="284" t="s">
        <v>263</v>
      </c>
      <c r="B121" s="285" t="s">
        <v>208</v>
      </c>
      <c r="C121" s="285" t="s">
        <v>209</v>
      </c>
      <c r="D121" s="286"/>
      <c r="E121" s="286">
        <v>50.29</v>
      </c>
      <c r="F121" s="286">
        <v>13.66</v>
      </c>
      <c r="G121" s="287"/>
      <c r="H121" s="288">
        <f t="shared" si="15"/>
        <v>63.95</v>
      </c>
      <c r="I121" s="289"/>
      <c r="J121" s="230"/>
      <c r="K121" s="242">
        <f t="shared" si="20"/>
        <v>0</v>
      </c>
      <c r="L121" s="242">
        <f t="shared" si="20"/>
        <v>419479.85</v>
      </c>
      <c r="M121" s="242">
        <f t="shared" si="21"/>
        <v>55869.4</v>
      </c>
      <c r="N121" s="242"/>
      <c r="O121" s="242">
        <f t="shared" si="17"/>
        <v>475349.25</v>
      </c>
    </row>
    <row r="122" spans="1:15" s="231" customFormat="1" ht="25.5" x14ac:dyDescent="0.2">
      <c r="A122" s="284" t="s">
        <v>264</v>
      </c>
      <c r="B122" s="285"/>
      <c r="C122" s="285" t="s">
        <v>211</v>
      </c>
      <c r="D122" s="286">
        <f>SUM(D123:D125)</f>
        <v>2435.96</v>
      </c>
      <c r="E122" s="286">
        <f>SUM(E123:E125)</f>
        <v>6.1</v>
      </c>
      <c r="F122" s="286"/>
      <c r="G122" s="287"/>
      <c r="H122" s="288">
        <f t="shared" si="15"/>
        <v>2442.06</v>
      </c>
      <c r="I122" s="289"/>
      <c r="J122" s="230"/>
      <c r="K122" s="286">
        <f>SUM(K123:K125)</f>
        <v>20318873.399999999</v>
      </c>
      <c r="L122" s="286">
        <f>SUM(L123:L125)</f>
        <v>50881.43</v>
      </c>
      <c r="M122" s="286"/>
      <c r="N122" s="242"/>
      <c r="O122" s="242">
        <f t="shared" si="17"/>
        <v>20369754.829999998</v>
      </c>
    </row>
    <row r="123" spans="1:15" s="291" customFormat="1" ht="15" customHeight="1" outlineLevel="1" x14ac:dyDescent="0.2">
      <c r="A123" s="246" t="s">
        <v>432</v>
      </c>
      <c r="B123" s="247" t="s">
        <v>210</v>
      </c>
      <c r="C123" s="247" t="s">
        <v>433</v>
      </c>
      <c r="D123" s="248">
        <v>745.68</v>
      </c>
      <c r="E123" s="248"/>
      <c r="F123" s="248"/>
      <c r="G123" s="249"/>
      <c r="H123" s="250"/>
      <c r="I123" s="251"/>
      <c r="J123" s="290"/>
      <c r="K123" s="253">
        <f t="shared" ref="K123:L126" si="22">((D123)*1.023*1.01-(D123)*0.023*0.15)*8.1*1000</f>
        <v>6219879.4400000004</v>
      </c>
      <c r="L123" s="253">
        <f t="shared" si="22"/>
        <v>0</v>
      </c>
      <c r="M123" s="253"/>
      <c r="N123" s="253"/>
      <c r="O123" s="253">
        <f t="shared" si="17"/>
        <v>6219879.4400000004</v>
      </c>
    </row>
    <row r="124" spans="1:15" s="291" customFormat="1" ht="15" customHeight="1" outlineLevel="1" x14ac:dyDescent="0.2">
      <c r="A124" s="246" t="s">
        <v>434</v>
      </c>
      <c r="B124" s="247" t="s">
        <v>210</v>
      </c>
      <c r="C124" s="247" t="s">
        <v>364</v>
      </c>
      <c r="D124" s="248">
        <f>1121.03-0.01</f>
        <v>1121.02</v>
      </c>
      <c r="E124" s="248">
        <v>6.1</v>
      </c>
      <c r="F124" s="248"/>
      <c r="G124" s="249"/>
      <c r="H124" s="250"/>
      <c r="I124" s="251"/>
      <c r="J124" s="290"/>
      <c r="K124" s="253">
        <f t="shared" si="22"/>
        <v>9350672.1999999993</v>
      </c>
      <c r="L124" s="253">
        <f t="shared" si="22"/>
        <v>50881.43</v>
      </c>
      <c r="M124" s="253"/>
      <c r="N124" s="253"/>
      <c r="O124" s="253">
        <f t="shared" si="17"/>
        <v>9401553.6300000008</v>
      </c>
    </row>
    <row r="125" spans="1:15" s="291" customFormat="1" ht="25.5" x14ac:dyDescent="0.2">
      <c r="A125" s="246" t="s">
        <v>890</v>
      </c>
      <c r="B125" s="247" t="s">
        <v>231</v>
      </c>
      <c r="C125" s="247" t="s">
        <v>232</v>
      </c>
      <c r="D125" s="248">
        <v>569.26</v>
      </c>
      <c r="E125" s="248"/>
      <c r="F125" s="248"/>
      <c r="G125" s="249"/>
      <c r="H125" s="250">
        <f>SUM(D125:G125)</f>
        <v>569.26</v>
      </c>
      <c r="I125" s="251"/>
      <c r="J125" s="290"/>
      <c r="K125" s="253">
        <f t="shared" si="22"/>
        <v>4748321.76</v>
      </c>
      <c r="L125" s="253">
        <f t="shared" si="22"/>
        <v>0</v>
      </c>
      <c r="M125" s="253"/>
      <c r="N125" s="253"/>
      <c r="O125" s="253">
        <f t="shared" si="17"/>
        <v>4748321.76</v>
      </c>
    </row>
    <row r="126" spans="1:15" s="231" customFormat="1" ht="25.5" x14ac:dyDescent="0.2">
      <c r="A126" s="284" t="s">
        <v>265</v>
      </c>
      <c r="B126" s="285" t="s">
        <v>212</v>
      </c>
      <c r="C126" s="285" t="s">
        <v>213</v>
      </c>
      <c r="D126" s="286">
        <v>0.53</v>
      </c>
      <c r="E126" s="286">
        <v>87.34</v>
      </c>
      <c r="F126" s="286">
        <v>4.95</v>
      </c>
      <c r="G126" s="287"/>
      <c r="H126" s="288">
        <f>SUM(D126:G126)</f>
        <v>92.82</v>
      </c>
      <c r="I126" s="289"/>
      <c r="J126" s="230"/>
      <c r="K126" s="242">
        <f t="shared" si="22"/>
        <v>4420.8500000000004</v>
      </c>
      <c r="L126" s="242">
        <f t="shared" si="22"/>
        <v>728521.98</v>
      </c>
      <c r="M126" s="242">
        <f>F126*4.09*1000</f>
        <v>20245.5</v>
      </c>
      <c r="N126" s="242"/>
      <c r="O126" s="242">
        <f t="shared" si="17"/>
        <v>753188.33</v>
      </c>
    </row>
    <row r="127" spans="1:15" s="231" customFormat="1" ht="25.5" x14ac:dyDescent="0.2">
      <c r="A127" s="284" t="s">
        <v>266</v>
      </c>
      <c r="B127" s="285" t="s">
        <v>214</v>
      </c>
      <c r="C127" s="285" t="s">
        <v>215</v>
      </c>
      <c r="D127" s="286"/>
      <c r="E127" s="286">
        <f>SUM(E128:E130)</f>
        <v>10.210000000000001</v>
      </c>
      <c r="F127" s="286">
        <f>SUM(F128:F130)</f>
        <v>16.760000000000002</v>
      </c>
      <c r="G127" s="287"/>
      <c r="H127" s="288">
        <f>SUM(D127:G127)</f>
        <v>26.97</v>
      </c>
      <c r="I127" s="289"/>
      <c r="J127" s="230"/>
      <c r="K127" s="242">
        <f>SUM(K128:K130)</f>
        <v>0</v>
      </c>
      <c r="L127" s="242">
        <f>SUM(L128:L130)</f>
        <v>85163.839999999997</v>
      </c>
      <c r="M127" s="242">
        <f>SUM(M128:M130)</f>
        <v>68548.399999999994</v>
      </c>
      <c r="N127" s="242"/>
      <c r="O127" s="242">
        <f t="shared" si="17"/>
        <v>153712.24</v>
      </c>
    </row>
    <row r="128" spans="1:15" s="291" customFormat="1" ht="25.5" outlineLevel="1" x14ac:dyDescent="0.2">
      <c r="A128" s="246" t="s">
        <v>435</v>
      </c>
      <c r="B128" s="247"/>
      <c r="C128" s="247" t="s">
        <v>381</v>
      </c>
      <c r="D128" s="248"/>
      <c r="E128" s="248">
        <v>2.2400000000000002</v>
      </c>
      <c r="F128" s="248">
        <v>4.24</v>
      </c>
      <c r="G128" s="249"/>
      <c r="H128" s="250"/>
      <c r="I128" s="251"/>
      <c r="J128" s="290"/>
      <c r="K128" s="253">
        <f t="shared" ref="K128:L130" si="23">((D128)*1.023*1.01-(D128)*0.023*0.15)*8.1*1000</f>
        <v>0</v>
      </c>
      <c r="L128" s="253">
        <f t="shared" si="23"/>
        <v>18684.330000000002</v>
      </c>
      <c r="M128" s="253">
        <f>F128*4.09*1000</f>
        <v>17341.599999999999</v>
      </c>
      <c r="N128" s="253"/>
      <c r="O128" s="253">
        <f t="shared" si="17"/>
        <v>36025.93</v>
      </c>
    </row>
    <row r="129" spans="1:16" s="291" customFormat="1" ht="25.5" outlineLevel="1" x14ac:dyDescent="0.2">
      <c r="A129" s="246" t="s">
        <v>436</v>
      </c>
      <c r="B129" s="247"/>
      <c r="C129" s="247" t="s">
        <v>382</v>
      </c>
      <c r="D129" s="248"/>
      <c r="E129" s="248">
        <v>2.3199999999999998</v>
      </c>
      <c r="F129" s="248">
        <v>4.24</v>
      </c>
      <c r="G129" s="249"/>
      <c r="H129" s="250"/>
      <c r="I129" s="251"/>
      <c r="J129" s="290"/>
      <c r="K129" s="253">
        <f t="shared" si="23"/>
        <v>0</v>
      </c>
      <c r="L129" s="253">
        <f t="shared" si="23"/>
        <v>19351.63</v>
      </c>
      <c r="M129" s="253">
        <f>F129*4.09*1000</f>
        <v>17341.599999999999</v>
      </c>
      <c r="N129" s="253"/>
      <c r="O129" s="253">
        <f t="shared" si="17"/>
        <v>36693.230000000003</v>
      </c>
    </row>
    <row r="130" spans="1:16" s="291" customFormat="1" ht="25.5" outlineLevel="1" x14ac:dyDescent="0.2">
      <c r="A130" s="246" t="s">
        <v>437</v>
      </c>
      <c r="B130" s="247"/>
      <c r="C130" s="247" t="s">
        <v>385</v>
      </c>
      <c r="D130" s="248"/>
      <c r="E130" s="248">
        <f>5.66-0.01</f>
        <v>5.65</v>
      </c>
      <c r="F130" s="248">
        <v>8.2799999999999994</v>
      </c>
      <c r="G130" s="249"/>
      <c r="H130" s="250"/>
      <c r="I130" s="251"/>
      <c r="J130" s="290"/>
      <c r="K130" s="253">
        <f t="shared" si="23"/>
        <v>0</v>
      </c>
      <c r="L130" s="253">
        <f t="shared" si="23"/>
        <v>47127.88</v>
      </c>
      <c r="M130" s="253">
        <f>F130*4.09*1000</f>
        <v>33865.199999999997</v>
      </c>
      <c r="N130" s="253"/>
      <c r="O130" s="253">
        <f t="shared" si="17"/>
        <v>80993.08</v>
      </c>
    </row>
    <row r="131" spans="1:16" s="231" customFormat="1" ht="25.5" x14ac:dyDescent="0.2">
      <c r="A131" s="284" t="s">
        <v>267</v>
      </c>
      <c r="B131" s="285" t="s">
        <v>216</v>
      </c>
      <c r="C131" s="285" t="s">
        <v>217</v>
      </c>
      <c r="D131" s="286"/>
      <c r="E131" s="286">
        <f>SUM(E132:E134)</f>
        <v>11.74</v>
      </c>
      <c r="F131" s="286">
        <f>SUM(F132:F134)</f>
        <v>40.47</v>
      </c>
      <c r="G131" s="287"/>
      <c r="H131" s="288">
        <f>SUM(D131:G131)</f>
        <v>52.21</v>
      </c>
      <c r="I131" s="289"/>
      <c r="J131" s="230"/>
      <c r="K131" s="242">
        <f>SUM(K132:K134)</f>
        <v>0</v>
      </c>
      <c r="L131" s="242">
        <f>SUM(L132:L134)</f>
        <v>97925.9</v>
      </c>
      <c r="M131" s="242">
        <f>SUM(M132:M134)</f>
        <v>165522.29999999999</v>
      </c>
      <c r="N131" s="242"/>
      <c r="O131" s="242">
        <f t="shared" si="17"/>
        <v>263448.2</v>
      </c>
    </row>
    <row r="132" spans="1:16" s="255" customFormat="1" ht="25.5" outlineLevel="1" x14ac:dyDescent="0.2">
      <c r="A132" s="246" t="s">
        <v>438</v>
      </c>
      <c r="B132" s="247"/>
      <c r="C132" s="247" t="s">
        <v>389</v>
      </c>
      <c r="D132" s="248"/>
      <c r="E132" s="248">
        <v>2.0299999999999998</v>
      </c>
      <c r="F132" s="248">
        <v>5.94</v>
      </c>
      <c r="G132" s="249"/>
      <c r="H132" s="250"/>
      <c r="I132" s="251"/>
      <c r="J132" s="252"/>
      <c r="K132" s="253">
        <f t="shared" ref="K132:L135" si="24">((D132)*1.023*1.01-(D132)*0.023*0.15)*8.1*1000</f>
        <v>0</v>
      </c>
      <c r="L132" s="253">
        <f t="shared" si="24"/>
        <v>16932.669999999998</v>
      </c>
      <c r="M132" s="253">
        <f>F132*4.09*1000</f>
        <v>24294.6</v>
      </c>
      <c r="N132" s="253"/>
      <c r="O132" s="253">
        <f t="shared" si="17"/>
        <v>41227.269999999997</v>
      </c>
    </row>
    <row r="133" spans="1:16" s="255" customFormat="1" ht="25.5" outlineLevel="1" x14ac:dyDescent="0.2">
      <c r="A133" s="246" t="s">
        <v>439</v>
      </c>
      <c r="B133" s="247"/>
      <c r="C133" s="247" t="s">
        <v>390</v>
      </c>
      <c r="D133" s="248"/>
      <c r="E133" s="248">
        <v>2.5299999999999998</v>
      </c>
      <c r="F133" s="248">
        <v>6.39</v>
      </c>
      <c r="G133" s="249"/>
      <c r="H133" s="250"/>
      <c r="I133" s="251"/>
      <c r="J133" s="252"/>
      <c r="K133" s="253">
        <f t="shared" si="24"/>
        <v>0</v>
      </c>
      <c r="L133" s="253">
        <f t="shared" si="24"/>
        <v>21103.279999999999</v>
      </c>
      <c r="M133" s="253">
        <f>F133*4.09*1000</f>
        <v>26135.1</v>
      </c>
      <c r="N133" s="253"/>
      <c r="O133" s="253">
        <f t="shared" si="17"/>
        <v>47238.38</v>
      </c>
    </row>
    <row r="134" spans="1:16" s="255" customFormat="1" ht="21" customHeight="1" outlineLevel="1" x14ac:dyDescent="0.2">
      <c r="A134" s="246" t="s">
        <v>440</v>
      </c>
      <c r="B134" s="247"/>
      <c r="C134" s="247" t="s">
        <v>441</v>
      </c>
      <c r="D134" s="248"/>
      <c r="E134" s="248">
        <v>7.18</v>
      </c>
      <c r="F134" s="248">
        <f>28.15-0.01</f>
        <v>28.14</v>
      </c>
      <c r="G134" s="249"/>
      <c r="H134" s="250"/>
      <c r="I134" s="251"/>
      <c r="J134" s="252"/>
      <c r="K134" s="253">
        <f t="shared" si="24"/>
        <v>0</v>
      </c>
      <c r="L134" s="253">
        <f t="shared" si="24"/>
        <v>59889.95</v>
      </c>
      <c r="M134" s="253">
        <f>F134*4.09*1000</f>
        <v>115092.6</v>
      </c>
      <c r="N134" s="253"/>
      <c r="O134" s="253">
        <f t="shared" si="17"/>
        <v>174982.55</v>
      </c>
    </row>
    <row r="135" spans="1:16" s="231" customFormat="1" ht="25.5" x14ac:dyDescent="0.2">
      <c r="A135" s="284" t="s">
        <v>268</v>
      </c>
      <c r="B135" s="285" t="s">
        <v>218</v>
      </c>
      <c r="C135" s="285" t="s">
        <v>219</v>
      </c>
      <c r="D135" s="286"/>
      <c r="E135" s="286">
        <v>1.02</v>
      </c>
      <c r="F135" s="286">
        <v>18.16</v>
      </c>
      <c r="G135" s="287"/>
      <c r="H135" s="288">
        <f>SUM(D135:G135)</f>
        <v>19.18</v>
      </c>
      <c r="I135" s="289"/>
      <c r="J135" s="230"/>
      <c r="K135" s="242">
        <f t="shared" si="24"/>
        <v>0</v>
      </c>
      <c r="L135" s="242">
        <f t="shared" si="24"/>
        <v>8508.0400000000009</v>
      </c>
      <c r="M135" s="242">
        <f>F135*4.09*1000</f>
        <v>74274.399999999994</v>
      </c>
      <c r="N135" s="242"/>
      <c r="O135" s="242">
        <f t="shared" si="17"/>
        <v>82782.44</v>
      </c>
    </row>
    <row r="136" spans="1:16" s="231" customFormat="1" ht="21" customHeight="1" x14ac:dyDescent="0.2">
      <c r="A136" s="284" t="s">
        <v>269</v>
      </c>
      <c r="B136" s="285" t="s">
        <v>220</v>
      </c>
      <c r="C136" s="285" t="s">
        <v>221</v>
      </c>
      <c r="D136" s="286"/>
      <c r="E136" s="286">
        <f>SUM(E137:E139)</f>
        <v>7.75</v>
      </c>
      <c r="F136" s="286">
        <f>SUM(F137:F139)</f>
        <v>4.01</v>
      </c>
      <c r="G136" s="287"/>
      <c r="H136" s="288">
        <f>SUM(D136:G136)</f>
        <v>11.76</v>
      </c>
      <c r="I136" s="289"/>
      <c r="J136" s="230"/>
      <c r="K136" s="242">
        <f>SUM(K137:K139)</f>
        <v>0</v>
      </c>
      <c r="L136" s="242">
        <f>SUM(L137:L139)</f>
        <v>64644.45</v>
      </c>
      <c r="M136" s="242">
        <f>SUM(M137:M139)</f>
        <v>16400.900000000001</v>
      </c>
      <c r="N136" s="242"/>
      <c r="O136" s="242">
        <f t="shared" si="17"/>
        <v>81045.350000000006</v>
      </c>
    </row>
    <row r="137" spans="1:16" s="255" customFormat="1" ht="25.5" outlineLevel="1" x14ac:dyDescent="0.2">
      <c r="A137" s="246" t="s">
        <v>442</v>
      </c>
      <c r="B137" s="247"/>
      <c r="C137" s="247" t="s">
        <v>381</v>
      </c>
      <c r="D137" s="248"/>
      <c r="E137" s="248">
        <v>1.95</v>
      </c>
      <c r="F137" s="248">
        <v>1.34</v>
      </c>
      <c r="G137" s="249"/>
      <c r="H137" s="250"/>
      <c r="I137" s="251"/>
      <c r="J137" s="252"/>
      <c r="K137" s="253">
        <f t="shared" ref="K137:L140" si="25">((D137)*1.023*1.01-(D137)*0.023*0.15)*8.1*1000</f>
        <v>0</v>
      </c>
      <c r="L137" s="253">
        <f t="shared" si="25"/>
        <v>16265.38</v>
      </c>
      <c r="M137" s="253">
        <f>F137*4.09*1000</f>
        <v>5480.6</v>
      </c>
      <c r="N137" s="253"/>
      <c r="O137" s="253">
        <f t="shared" ref="O137:O168" si="26">SUM(K137:N137)</f>
        <v>21745.98</v>
      </c>
    </row>
    <row r="138" spans="1:16" s="255" customFormat="1" ht="25.5" outlineLevel="1" x14ac:dyDescent="0.2">
      <c r="A138" s="246" t="s">
        <v>443</v>
      </c>
      <c r="B138" s="247"/>
      <c r="C138" s="247" t="s">
        <v>382</v>
      </c>
      <c r="D138" s="248"/>
      <c r="E138" s="248">
        <v>2.61</v>
      </c>
      <c r="F138" s="248">
        <v>1.36</v>
      </c>
      <c r="G138" s="249"/>
      <c r="H138" s="250"/>
      <c r="I138" s="251"/>
      <c r="J138" s="252"/>
      <c r="K138" s="253">
        <f t="shared" si="25"/>
        <v>0</v>
      </c>
      <c r="L138" s="253">
        <f t="shared" si="25"/>
        <v>21770.58</v>
      </c>
      <c r="M138" s="253">
        <f>F138*4.09*1000</f>
        <v>5562.4</v>
      </c>
      <c r="N138" s="253"/>
      <c r="O138" s="253">
        <f t="shared" si="26"/>
        <v>27332.98</v>
      </c>
    </row>
    <row r="139" spans="1:16" s="255" customFormat="1" ht="25.5" outlineLevel="1" x14ac:dyDescent="0.2">
      <c r="A139" s="246" t="s">
        <v>444</v>
      </c>
      <c r="B139" s="247"/>
      <c r="C139" s="247" t="s">
        <v>385</v>
      </c>
      <c r="D139" s="248"/>
      <c r="E139" s="248">
        <f>3.2-0.01</f>
        <v>3.19</v>
      </c>
      <c r="F139" s="248">
        <f>1.32-0.01</f>
        <v>1.31</v>
      </c>
      <c r="G139" s="249"/>
      <c r="H139" s="250"/>
      <c r="I139" s="251"/>
      <c r="J139" s="252"/>
      <c r="K139" s="253">
        <f t="shared" si="25"/>
        <v>0</v>
      </c>
      <c r="L139" s="253">
        <f t="shared" si="25"/>
        <v>26608.49</v>
      </c>
      <c r="M139" s="253">
        <f>F139*4.09*1000</f>
        <v>5357.9</v>
      </c>
      <c r="N139" s="253"/>
      <c r="O139" s="253">
        <f t="shared" si="26"/>
        <v>31966.39</v>
      </c>
    </row>
    <row r="140" spans="1:16" s="231" customFormat="1" ht="38.25" x14ac:dyDescent="0.2">
      <c r="A140" s="284" t="s">
        <v>270</v>
      </c>
      <c r="B140" s="285" t="s">
        <v>222</v>
      </c>
      <c r="C140" s="285" t="s">
        <v>880</v>
      </c>
      <c r="D140" s="286">
        <v>19.32</v>
      </c>
      <c r="E140" s="286">
        <v>238.71</v>
      </c>
      <c r="F140" s="286"/>
      <c r="G140" s="287"/>
      <c r="H140" s="288">
        <f>SUM(D140:G140)</f>
        <v>258.02999999999997</v>
      </c>
      <c r="I140" s="289"/>
      <c r="J140" s="230"/>
      <c r="K140" s="242">
        <f t="shared" si="25"/>
        <v>161152.32999999999</v>
      </c>
      <c r="L140" s="242">
        <f t="shared" si="25"/>
        <v>1991132.15</v>
      </c>
      <c r="M140" s="242">
        <f>F140*4.09*1000</f>
        <v>0</v>
      </c>
      <c r="N140" s="242"/>
      <c r="O140" s="242">
        <f t="shared" si="26"/>
        <v>2152284.48</v>
      </c>
    </row>
    <row r="141" spans="1:16" s="265" customFormat="1" x14ac:dyDescent="0.2">
      <c r="A141" s="258">
        <v>7</v>
      </c>
      <c r="B141" s="179" t="s">
        <v>39</v>
      </c>
      <c r="C141" s="179" t="s">
        <v>40</v>
      </c>
      <c r="D141" s="259">
        <f>D142+D164+D191</f>
        <v>48536.51</v>
      </c>
      <c r="E141" s="260"/>
      <c r="F141" s="260"/>
      <c r="G141" s="260"/>
      <c r="H141" s="261">
        <f>SUM(H143:H206)</f>
        <v>144412.26</v>
      </c>
      <c r="I141" s="262"/>
      <c r="J141" s="263"/>
      <c r="K141" s="264">
        <f>K142+K164+K191</f>
        <v>404853610.87</v>
      </c>
      <c r="L141" s="264"/>
      <c r="M141" s="264"/>
      <c r="N141" s="264"/>
      <c r="O141" s="264">
        <f t="shared" si="26"/>
        <v>404853610.87</v>
      </c>
    </row>
    <row r="142" spans="1:16" s="241" customFormat="1" ht="25.5" x14ac:dyDescent="0.2">
      <c r="A142" s="245" t="s">
        <v>338</v>
      </c>
      <c r="B142" s="235"/>
      <c r="C142" s="235" t="s">
        <v>855</v>
      </c>
      <c r="D142" s="237">
        <f>D143+D151+D155+D158+D161</f>
        <v>361.22</v>
      </c>
      <c r="E142" s="243"/>
      <c r="F142" s="243"/>
      <c r="G142" s="243"/>
      <c r="H142" s="244">
        <f t="shared" ref="H142:H165" si="27">SUM(D142:G142)</f>
        <v>361.22</v>
      </c>
      <c r="I142" s="238"/>
      <c r="J142" s="239"/>
      <c r="K142" s="240">
        <f>K143+K151+K155+K158+K161</f>
        <v>3013014.77</v>
      </c>
      <c r="L142" s="240"/>
      <c r="M142" s="240"/>
      <c r="N142" s="240"/>
      <c r="O142" s="244">
        <f t="shared" si="26"/>
        <v>3013014.77</v>
      </c>
    </row>
    <row r="143" spans="1:16" s="231" customFormat="1" outlineLevel="1" x14ac:dyDescent="0.2">
      <c r="A143" s="284" t="s">
        <v>460</v>
      </c>
      <c r="B143" s="285" t="s">
        <v>317</v>
      </c>
      <c r="C143" s="285" t="s">
        <v>318</v>
      </c>
      <c r="D143" s="286">
        <f>SUM(D144:D150)</f>
        <v>0</v>
      </c>
      <c r="E143" s="286"/>
      <c r="F143" s="286"/>
      <c r="G143" s="287"/>
      <c r="H143" s="288">
        <f t="shared" si="27"/>
        <v>0</v>
      </c>
      <c r="I143" s="289"/>
      <c r="J143" s="230"/>
      <c r="K143" s="242">
        <f>SUM(K144:K150)</f>
        <v>0</v>
      </c>
      <c r="L143" s="242"/>
      <c r="M143" s="242"/>
      <c r="N143" s="242"/>
      <c r="O143" s="242">
        <f t="shared" si="26"/>
        <v>0</v>
      </c>
      <c r="P143" s="704" t="s">
        <v>759</v>
      </c>
    </row>
    <row r="144" spans="1:16" s="291" customFormat="1" ht="15" outlineLevel="2" x14ac:dyDescent="0.2">
      <c r="A144" s="246" t="s">
        <v>813</v>
      </c>
      <c r="B144" s="247"/>
      <c r="C144" s="247" t="s">
        <v>374</v>
      </c>
      <c r="D144" s="568">
        <f>143.57*0</f>
        <v>0</v>
      </c>
      <c r="E144" s="248"/>
      <c r="F144" s="248"/>
      <c r="G144" s="249"/>
      <c r="H144" s="250">
        <f t="shared" si="27"/>
        <v>0</v>
      </c>
      <c r="I144" s="251"/>
      <c r="J144" s="290"/>
      <c r="K144" s="253">
        <f t="shared" ref="K144:K150" si="28">((D144)*1.023*1.01-(D144)*0.023*0.15)*8.1*1000</f>
        <v>0</v>
      </c>
      <c r="L144" s="253"/>
      <c r="M144" s="253"/>
      <c r="N144" s="253"/>
      <c r="O144" s="253">
        <f t="shared" si="26"/>
        <v>0</v>
      </c>
      <c r="P144" s="704"/>
    </row>
    <row r="145" spans="1:16" s="291" customFormat="1" ht="15" outlineLevel="2" x14ac:dyDescent="0.2">
      <c r="A145" s="246" t="s">
        <v>814</v>
      </c>
      <c r="B145" s="247"/>
      <c r="C145" s="247" t="s">
        <v>465</v>
      </c>
      <c r="D145" s="568">
        <f>959.58*0</f>
        <v>0</v>
      </c>
      <c r="E145" s="248"/>
      <c r="F145" s="248"/>
      <c r="G145" s="249"/>
      <c r="H145" s="250">
        <f t="shared" si="27"/>
        <v>0</v>
      </c>
      <c r="I145" s="251"/>
      <c r="J145" s="290"/>
      <c r="K145" s="253">
        <f t="shared" si="28"/>
        <v>0</v>
      </c>
      <c r="L145" s="253"/>
      <c r="M145" s="253"/>
      <c r="N145" s="253"/>
      <c r="O145" s="253">
        <f t="shared" si="26"/>
        <v>0</v>
      </c>
      <c r="P145" s="704"/>
    </row>
    <row r="146" spans="1:16" s="291" customFormat="1" ht="25.5" outlineLevel="2" x14ac:dyDescent="0.2">
      <c r="A146" s="246" t="s">
        <v>815</v>
      </c>
      <c r="B146" s="247"/>
      <c r="C146" s="247" t="s">
        <v>466</v>
      </c>
      <c r="D146" s="568">
        <f>178.59*0</f>
        <v>0</v>
      </c>
      <c r="E146" s="248"/>
      <c r="F146" s="248"/>
      <c r="G146" s="249"/>
      <c r="H146" s="250">
        <f t="shared" si="27"/>
        <v>0</v>
      </c>
      <c r="I146" s="251"/>
      <c r="J146" s="290"/>
      <c r="K146" s="253">
        <f t="shared" si="28"/>
        <v>0</v>
      </c>
      <c r="L146" s="253"/>
      <c r="M146" s="253"/>
      <c r="N146" s="253"/>
      <c r="O146" s="253">
        <f t="shared" si="26"/>
        <v>0</v>
      </c>
      <c r="P146" s="704"/>
    </row>
    <row r="147" spans="1:16" s="291" customFormat="1" ht="25.5" outlineLevel="2" x14ac:dyDescent="0.2">
      <c r="A147" s="246" t="s">
        <v>816</v>
      </c>
      <c r="B147" s="247"/>
      <c r="C147" s="247" t="s">
        <v>467</v>
      </c>
      <c r="D147" s="568">
        <f>(2598.93-0.01)*0</f>
        <v>0</v>
      </c>
      <c r="E147" s="248"/>
      <c r="F147" s="248"/>
      <c r="G147" s="249"/>
      <c r="H147" s="250">
        <f t="shared" si="27"/>
        <v>0</v>
      </c>
      <c r="I147" s="251"/>
      <c r="J147" s="290"/>
      <c r="K147" s="253">
        <f t="shared" si="28"/>
        <v>0</v>
      </c>
      <c r="L147" s="253"/>
      <c r="M147" s="253"/>
      <c r="N147" s="253"/>
      <c r="O147" s="253">
        <f t="shared" si="26"/>
        <v>0</v>
      </c>
      <c r="P147" s="704"/>
    </row>
    <row r="148" spans="1:16" s="291" customFormat="1" ht="25.5" outlineLevel="2" x14ac:dyDescent="0.2">
      <c r="A148" s="246" t="s">
        <v>817</v>
      </c>
      <c r="B148" s="247"/>
      <c r="C148" s="247" t="s">
        <v>468</v>
      </c>
      <c r="D148" s="568">
        <f>37.84*0</f>
        <v>0</v>
      </c>
      <c r="E148" s="248"/>
      <c r="F148" s="248"/>
      <c r="G148" s="249"/>
      <c r="H148" s="250">
        <f t="shared" si="27"/>
        <v>0</v>
      </c>
      <c r="I148" s="251"/>
      <c r="J148" s="290"/>
      <c r="K148" s="253">
        <f t="shared" si="28"/>
        <v>0</v>
      </c>
      <c r="L148" s="253"/>
      <c r="M148" s="253"/>
      <c r="N148" s="253"/>
      <c r="O148" s="253">
        <f t="shared" si="26"/>
        <v>0</v>
      </c>
      <c r="P148" s="704"/>
    </row>
    <row r="149" spans="1:16" s="291" customFormat="1" ht="15" outlineLevel="2" x14ac:dyDescent="0.2">
      <c r="A149" s="246" t="s">
        <v>818</v>
      </c>
      <c r="B149" s="247"/>
      <c r="C149" s="247" t="s">
        <v>469</v>
      </c>
      <c r="D149" s="568">
        <f>163.3*0</f>
        <v>0</v>
      </c>
      <c r="E149" s="248"/>
      <c r="F149" s="248"/>
      <c r="G149" s="249"/>
      <c r="H149" s="250">
        <f t="shared" si="27"/>
        <v>0</v>
      </c>
      <c r="I149" s="251"/>
      <c r="J149" s="290"/>
      <c r="K149" s="253">
        <f t="shared" si="28"/>
        <v>0</v>
      </c>
      <c r="L149" s="253"/>
      <c r="M149" s="253"/>
      <c r="N149" s="253"/>
      <c r="O149" s="253">
        <f t="shared" si="26"/>
        <v>0</v>
      </c>
      <c r="P149" s="704"/>
    </row>
    <row r="150" spans="1:16" s="291" customFormat="1" ht="38.25" outlineLevel="2" x14ac:dyDescent="0.2">
      <c r="A150" s="246" t="s">
        <v>819</v>
      </c>
      <c r="B150" s="247" t="s">
        <v>334</v>
      </c>
      <c r="C150" s="247" t="s">
        <v>491</v>
      </c>
      <c r="D150" s="568">
        <f>(482.31-0.01)*0</f>
        <v>0</v>
      </c>
      <c r="E150" s="248"/>
      <c r="F150" s="248"/>
      <c r="G150" s="249"/>
      <c r="H150" s="250">
        <f t="shared" si="27"/>
        <v>0</v>
      </c>
      <c r="I150" s="251"/>
      <c r="J150" s="290"/>
      <c r="K150" s="253">
        <f t="shared" si="28"/>
        <v>0</v>
      </c>
      <c r="L150" s="253"/>
      <c r="M150" s="253"/>
      <c r="N150" s="253"/>
      <c r="O150" s="253">
        <f t="shared" si="26"/>
        <v>0</v>
      </c>
    </row>
    <row r="151" spans="1:16" s="231" customFormat="1" ht="20.25" customHeight="1" outlineLevel="1" x14ac:dyDescent="0.2">
      <c r="A151" s="284" t="s">
        <v>461</v>
      </c>
      <c r="B151" s="285" t="s">
        <v>321</v>
      </c>
      <c r="C151" s="285" t="s">
        <v>322</v>
      </c>
      <c r="D151" s="286">
        <f>SUM(D152:D154)</f>
        <v>0</v>
      </c>
      <c r="E151" s="286"/>
      <c r="F151" s="286"/>
      <c r="G151" s="287"/>
      <c r="H151" s="288">
        <f t="shared" si="27"/>
        <v>0</v>
      </c>
      <c r="I151" s="289"/>
      <c r="J151" s="230"/>
      <c r="K151" s="242">
        <f>SUM(K152:K154)</f>
        <v>0</v>
      </c>
      <c r="L151" s="242"/>
      <c r="M151" s="242"/>
      <c r="N151" s="242"/>
      <c r="O151" s="242">
        <f t="shared" si="26"/>
        <v>0</v>
      </c>
    </row>
    <row r="152" spans="1:16" s="255" customFormat="1" ht="20.25" customHeight="1" outlineLevel="2" x14ac:dyDescent="0.2">
      <c r="A152" s="246" t="s">
        <v>820</v>
      </c>
      <c r="B152" s="247"/>
      <c r="C152" s="247" t="s">
        <v>374</v>
      </c>
      <c r="D152" s="568">
        <f>380.62*0</f>
        <v>0</v>
      </c>
      <c r="E152" s="248"/>
      <c r="F152" s="248"/>
      <c r="G152" s="249"/>
      <c r="H152" s="250">
        <f t="shared" si="27"/>
        <v>0</v>
      </c>
      <c r="I152" s="251"/>
      <c r="J152" s="252"/>
      <c r="K152" s="253">
        <f>((D152)*1.023*1.01-(D152)*0.023*0.15)*8.1*1000</f>
        <v>0</v>
      </c>
      <c r="L152" s="253"/>
      <c r="M152" s="253"/>
      <c r="N152" s="253"/>
      <c r="O152" s="253">
        <f t="shared" si="26"/>
        <v>0</v>
      </c>
    </row>
    <row r="153" spans="1:16" s="255" customFormat="1" ht="20.25" customHeight="1" outlineLevel="2" x14ac:dyDescent="0.2">
      <c r="A153" s="246" t="s">
        <v>821</v>
      </c>
      <c r="B153" s="247"/>
      <c r="C153" s="247" t="s">
        <v>475</v>
      </c>
      <c r="D153" s="568">
        <f>909.12*0</f>
        <v>0</v>
      </c>
      <c r="E153" s="248"/>
      <c r="F153" s="248"/>
      <c r="G153" s="249"/>
      <c r="H153" s="250">
        <f t="shared" si="27"/>
        <v>0</v>
      </c>
      <c r="I153" s="251"/>
      <c r="J153" s="252"/>
      <c r="K153" s="253">
        <f>((D153)*1.023*1.01-(D153)*0.023*0.15)*8.1*1000</f>
        <v>0</v>
      </c>
      <c r="L153" s="253"/>
      <c r="M153" s="253"/>
      <c r="N153" s="253"/>
      <c r="O153" s="253">
        <f t="shared" si="26"/>
        <v>0</v>
      </c>
    </row>
    <row r="154" spans="1:16" s="255" customFormat="1" ht="38.25" outlineLevel="2" x14ac:dyDescent="0.2">
      <c r="A154" s="246" t="s">
        <v>822</v>
      </c>
      <c r="B154" s="247" t="s">
        <v>334</v>
      </c>
      <c r="C154" s="247" t="s">
        <v>493</v>
      </c>
      <c r="D154" s="568">
        <f>26.98*0</f>
        <v>0</v>
      </c>
      <c r="E154" s="248"/>
      <c r="F154" s="248"/>
      <c r="G154" s="249"/>
      <c r="H154" s="250">
        <f t="shared" si="27"/>
        <v>0</v>
      </c>
      <c r="I154" s="251"/>
      <c r="J154" s="252"/>
      <c r="K154" s="253">
        <f>((D154)*1.023*1.01-(D154)*0.023*0.15)*8.1*1000</f>
        <v>0</v>
      </c>
      <c r="L154" s="253"/>
      <c r="M154" s="253"/>
      <c r="N154" s="253"/>
      <c r="O154" s="253">
        <f t="shared" si="26"/>
        <v>0</v>
      </c>
    </row>
    <row r="155" spans="1:16" s="231" customFormat="1" ht="25.5" outlineLevel="1" x14ac:dyDescent="0.2">
      <c r="A155" s="284" t="s">
        <v>462</v>
      </c>
      <c r="B155" s="285"/>
      <c r="C155" s="285" t="s">
        <v>806</v>
      </c>
      <c r="D155" s="286">
        <f>SUM(D156:D157)</f>
        <v>85.89</v>
      </c>
      <c r="E155" s="286"/>
      <c r="F155" s="286"/>
      <c r="G155" s="287"/>
      <c r="H155" s="288">
        <f t="shared" si="27"/>
        <v>85.89</v>
      </c>
      <c r="I155" s="289"/>
      <c r="J155" s="230"/>
      <c r="K155" s="286">
        <f>SUM(K156:K157)</f>
        <v>716427.22</v>
      </c>
      <c r="L155" s="242"/>
      <c r="M155" s="242"/>
      <c r="N155" s="242"/>
      <c r="O155" s="242">
        <f t="shared" si="26"/>
        <v>716427.22</v>
      </c>
      <c r="P155" s="256"/>
    </row>
    <row r="156" spans="1:16" s="291" customFormat="1" ht="25.5" outlineLevel="2" x14ac:dyDescent="0.2">
      <c r="A156" s="246" t="s">
        <v>858</v>
      </c>
      <c r="B156" s="247" t="s">
        <v>329</v>
      </c>
      <c r="C156" s="247" t="s">
        <v>806</v>
      </c>
      <c r="D156" s="248">
        <f>1424.21*'Противоэроз защита'!B25/'Противоэроз защита'!$B$24</f>
        <v>85.85</v>
      </c>
      <c r="E156" s="248"/>
      <c r="F156" s="248"/>
      <c r="G156" s="249"/>
      <c r="H156" s="250">
        <f t="shared" si="27"/>
        <v>85.85</v>
      </c>
      <c r="I156" s="251"/>
      <c r="J156" s="290"/>
      <c r="K156" s="253">
        <f>((D156)*1.023*1.01-(D156)*0.023*0.15)*8.1*1000</f>
        <v>716093.57</v>
      </c>
      <c r="L156" s="253"/>
      <c r="M156" s="253"/>
      <c r="N156" s="253"/>
      <c r="O156" s="253">
        <f t="shared" si="26"/>
        <v>716093.57</v>
      </c>
      <c r="P156" s="292"/>
    </row>
    <row r="157" spans="1:16" s="291" customFormat="1" ht="38.25" outlineLevel="2" x14ac:dyDescent="0.2">
      <c r="A157" s="246" t="s">
        <v>859</v>
      </c>
      <c r="B157" s="247" t="s">
        <v>334</v>
      </c>
      <c r="C157" s="247" t="s">
        <v>497</v>
      </c>
      <c r="D157" s="248">
        <f>0.68*'Противоэроз защита'!B25/'Противоэроз защита'!$B$24</f>
        <v>0.04</v>
      </c>
      <c r="E157" s="248"/>
      <c r="F157" s="248"/>
      <c r="G157" s="249"/>
      <c r="H157" s="250">
        <f t="shared" si="27"/>
        <v>0.04</v>
      </c>
      <c r="I157" s="251"/>
      <c r="J157" s="290"/>
      <c r="K157" s="253">
        <f>((D157)*1.023*1.01-(D157)*0.023*0.15)*8.1*1000</f>
        <v>333.65</v>
      </c>
      <c r="L157" s="253"/>
      <c r="M157" s="253"/>
      <c r="N157" s="253"/>
      <c r="O157" s="253">
        <f t="shared" si="26"/>
        <v>333.65</v>
      </c>
    </row>
    <row r="158" spans="1:16" s="231" customFormat="1" ht="25.5" outlineLevel="1" x14ac:dyDescent="0.2">
      <c r="A158" s="284" t="s">
        <v>463</v>
      </c>
      <c r="B158" s="285"/>
      <c r="C158" s="285" t="s">
        <v>807</v>
      </c>
      <c r="D158" s="286">
        <f>SUM(D159:D160)</f>
        <v>173.03</v>
      </c>
      <c r="E158" s="286"/>
      <c r="F158" s="286"/>
      <c r="G158" s="287"/>
      <c r="H158" s="288">
        <f t="shared" si="27"/>
        <v>173.03</v>
      </c>
      <c r="I158" s="289"/>
      <c r="J158" s="230"/>
      <c r="K158" s="286">
        <f>SUM(K159:K160)</f>
        <v>1443280.95</v>
      </c>
      <c r="L158" s="242"/>
      <c r="M158" s="242"/>
      <c r="N158" s="242"/>
      <c r="O158" s="242">
        <f t="shared" si="26"/>
        <v>1443280.95</v>
      </c>
      <c r="P158" s="256"/>
    </row>
    <row r="159" spans="1:16" s="291" customFormat="1" ht="25.5" outlineLevel="2" x14ac:dyDescent="0.2">
      <c r="A159" s="246" t="s">
        <v>863</v>
      </c>
      <c r="B159" s="247" t="s">
        <v>329</v>
      </c>
      <c r="C159" s="247" t="s">
        <v>807</v>
      </c>
      <c r="D159" s="248">
        <f>1424.21*'Противоэроз защита'!B26/'Противоэроз защита'!$B$24</f>
        <v>172.95</v>
      </c>
      <c r="E159" s="248"/>
      <c r="F159" s="248"/>
      <c r="G159" s="249"/>
      <c r="H159" s="250">
        <f t="shared" si="27"/>
        <v>172.95</v>
      </c>
      <c r="I159" s="251"/>
      <c r="J159" s="290"/>
      <c r="K159" s="253">
        <f>((D159)*1.023*1.01-(D159)*0.023*0.15)*8.1*1000</f>
        <v>1442613.65</v>
      </c>
      <c r="L159" s="253"/>
      <c r="M159" s="253"/>
      <c r="N159" s="253"/>
      <c r="O159" s="253">
        <f t="shared" si="26"/>
        <v>1442613.65</v>
      </c>
      <c r="P159" s="292"/>
    </row>
    <row r="160" spans="1:16" s="291" customFormat="1" ht="38.25" outlineLevel="2" x14ac:dyDescent="0.2">
      <c r="A160" s="246" t="s">
        <v>864</v>
      </c>
      <c r="B160" s="247" t="s">
        <v>334</v>
      </c>
      <c r="C160" s="247" t="s">
        <v>497</v>
      </c>
      <c r="D160" s="248">
        <f>0.68*'Противоэроз защита'!B26/'Противоэроз защита'!$B$24</f>
        <v>0.08</v>
      </c>
      <c r="E160" s="248"/>
      <c r="F160" s="248"/>
      <c r="G160" s="249"/>
      <c r="H160" s="250">
        <f t="shared" si="27"/>
        <v>0.08</v>
      </c>
      <c r="I160" s="251"/>
      <c r="J160" s="290"/>
      <c r="K160" s="253">
        <f>((D160)*1.023*1.01-(D160)*0.023*0.15)*8.1*1000</f>
        <v>667.3</v>
      </c>
      <c r="L160" s="253"/>
      <c r="M160" s="253"/>
      <c r="N160" s="253"/>
      <c r="O160" s="253">
        <f t="shared" si="26"/>
        <v>667.3</v>
      </c>
    </row>
    <row r="161" spans="1:16" s="231" customFormat="1" ht="25.5" outlineLevel="1" x14ac:dyDescent="0.2">
      <c r="A161" s="284" t="s">
        <v>464</v>
      </c>
      <c r="B161" s="285"/>
      <c r="C161" s="285" t="s">
        <v>808</v>
      </c>
      <c r="D161" s="286">
        <f>SUM(D162:D163)</f>
        <v>102.3</v>
      </c>
      <c r="E161" s="286"/>
      <c r="F161" s="286"/>
      <c r="G161" s="287"/>
      <c r="H161" s="288">
        <f t="shared" si="27"/>
        <v>102.3</v>
      </c>
      <c r="I161" s="289"/>
      <c r="J161" s="230"/>
      <c r="K161" s="242">
        <f>SUM(K162:K163)</f>
        <v>853306.6</v>
      </c>
      <c r="L161" s="242"/>
      <c r="M161" s="242"/>
      <c r="N161" s="242"/>
      <c r="O161" s="242">
        <f t="shared" si="26"/>
        <v>853306.6</v>
      </c>
      <c r="P161" s="256"/>
    </row>
    <row r="162" spans="1:16" s="255" customFormat="1" ht="25.5" outlineLevel="2" x14ac:dyDescent="0.2">
      <c r="A162" s="246" t="s">
        <v>865</v>
      </c>
      <c r="B162" s="247" t="s">
        <v>329</v>
      </c>
      <c r="C162" s="247" t="s">
        <v>808</v>
      </c>
      <c r="D162" s="248">
        <f>1424.21*'Противоэроз защита'!B27/'Противоэроз защита'!$B$24</f>
        <v>102.25</v>
      </c>
      <c r="E162" s="248"/>
      <c r="F162" s="248"/>
      <c r="G162" s="249"/>
      <c r="H162" s="250">
        <f t="shared" si="27"/>
        <v>102.25</v>
      </c>
      <c r="I162" s="251"/>
      <c r="J162" s="252"/>
      <c r="K162" s="253">
        <f>((D162)*1.023*1.01-(D162)*0.023*0.15)*8.1*1000</f>
        <v>852889.54</v>
      </c>
      <c r="L162" s="253"/>
      <c r="M162" s="253"/>
      <c r="N162" s="253"/>
      <c r="O162" s="253">
        <f t="shared" si="26"/>
        <v>852889.54</v>
      </c>
      <c r="P162" s="254"/>
    </row>
    <row r="163" spans="1:16" s="255" customFormat="1" ht="38.25" outlineLevel="2" x14ac:dyDescent="0.2">
      <c r="A163" s="246" t="s">
        <v>866</v>
      </c>
      <c r="B163" s="247" t="s">
        <v>334</v>
      </c>
      <c r="C163" s="247" t="s">
        <v>497</v>
      </c>
      <c r="D163" s="248">
        <f>0.68*'Противоэроз защита'!B27/'Противоэроз защита'!$B$24</f>
        <v>0.05</v>
      </c>
      <c r="E163" s="248"/>
      <c r="F163" s="248"/>
      <c r="G163" s="249"/>
      <c r="H163" s="250">
        <f t="shared" si="27"/>
        <v>0.05</v>
      </c>
      <c r="I163" s="251"/>
      <c r="J163" s="252"/>
      <c r="K163" s="253">
        <f>((D163)*1.023*1.01-(D163)*0.023*0.15)*8.1*1000</f>
        <v>417.06</v>
      </c>
      <c r="L163" s="253"/>
      <c r="M163" s="253"/>
      <c r="N163" s="253"/>
      <c r="O163" s="253">
        <f t="shared" si="26"/>
        <v>417.06</v>
      </c>
    </row>
    <row r="164" spans="1:16" s="241" customFormat="1" x14ac:dyDescent="0.2">
      <c r="A164" s="245" t="s">
        <v>339</v>
      </c>
      <c r="B164" s="235"/>
      <c r="C164" s="235" t="s">
        <v>856</v>
      </c>
      <c r="D164" s="237">
        <f>D165+D169+D173+D177+D188</f>
        <v>41508.639999999999</v>
      </c>
      <c r="E164" s="243"/>
      <c r="F164" s="243"/>
      <c r="G164" s="243"/>
      <c r="H164" s="244">
        <f t="shared" si="27"/>
        <v>41508.639999999999</v>
      </c>
      <c r="I164" s="238"/>
      <c r="J164" s="239"/>
      <c r="K164" s="240">
        <f>K165+K169+K173+K177+K188</f>
        <v>346232615.12</v>
      </c>
      <c r="L164" s="240"/>
      <c r="M164" s="240"/>
      <c r="N164" s="240"/>
      <c r="O164" s="244">
        <f t="shared" si="26"/>
        <v>346232615.12</v>
      </c>
    </row>
    <row r="165" spans="1:16" s="231" customFormat="1" ht="20.25" customHeight="1" outlineLevel="1" x14ac:dyDescent="0.2">
      <c r="A165" s="284" t="s">
        <v>470</v>
      </c>
      <c r="B165" s="285" t="s">
        <v>319</v>
      </c>
      <c r="C165" s="285" t="s">
        <v>320</v>
      </c>
      <c r="D165" s="286">
        <f>SUM(D166:D168)</f>
        <v>836.53</v>
      </c>
      <c r="E165" s="286"/>
      <c r="F165" s="286"/>
      <c r="G165" s="287"/>
      <c r="H165" s="288">
        <f t="shared" si="27"/>
        <v>836.53</v>
      </c>
      <c r="I165" s="289"/>
      <c r="J165" s="230"/>
      <c r="K165" s="242">
        <f>SUM(K166:K168)</f>
        <v>6977679.0899999999</v>
      </c>
      <c r="L165" s="242"/>
      <c r="M165" s="242"/>
      <c r="N165" s="242"/>
      <c r="O165" s="242">
        <f t="shared" si="26"/>
        <v>6977679.0899999999</v>
      </c>
      <c r="P165" s="705" t="s">
        <v>760</v>
      </c>
    </row>
    <row r="166" spans="1:16" s="291" customFormat="1" ht="21" customHeight="1" outlineLevel="2" x14ac:dyDescent="0.2">
      <c r="A166" s="246" t="s">
        <v>823</v>
      </c>
      <c r="B166" s="247"/>
      <c r="C166" s="247" t="s">
        <v>374</v>
      </c>
      <c r="D166" s="248">
        <v>66.02</v>
      </c>
      <c r="E166" s="248"/>
      <c r="F166" s="248"/>
      <c r="G166" s="249"/>
      <c r="H166" s="250"/>
      <c r="I166" s="251"/>
      <c r="J166" s="290"/>
      <c r="K166" s="253">
        <f>((D166)*1.023*1.01-(D166)*0.023*0.15)*8.1*1000</f>
        <v>550687.21</v>
      </c>
      <c r="L166" s="253"/>
      <c r="M166" s="253"/>
      <c r="N166" s="253"/>
      <c r="O166" s="253">
        <f t="shared" si="26"/>
        <v>550687.21</v>
      </c>
      <c r="P166" s="705"/>
    </row>
    <row r="167" spans="1:16" s="291" customFormat="1" ht="25.5" outlineLevel="2" x14ac:dyDescent="0.2">
      <c r="A167" s="246" t="s">
        <v>824</v>
      </c>
      <c r="B167" s="247"/>
      <c r="C167" s="247" t="s">
        <v>472</v>
      </c>
      <c r="D167" s="248">
        <v>770.03</v>
      </c>
      <c r="E167" s="248"/>
      <c r="F167" s="248"/>
      <c r="G167" s="249"/>
      <c r="H167" s="250"/>
      <c r="I167" s="251"/>
      <c r="J167" s="290"/>
      <c r="K167" s="253">
        <f>((D167)*1.023*1.01-(D167)*0.023*0.15)*8.1*1000</f>
        <v>6422988.0999999996</v>
      </c>
      <c r="L167" s="253"/>
      <c r="M167" s="253"/>
      <c r="N167" s="253"/>
      <c r="O167" s="253">
        <f t="shared" si="26"/>
        <v>6422988.0999999996</v>
      </c>
      <c r="P167" s="705"/>
    </row>
    <row r="168" spans="1:16" s="291" customFormat="1" ht="38.25" outlineLevel="2" x14ac:dyDescent="0.2">
      <c r="A168" s="246" t="s">
        <v>825</v>
      </c>
      <c r="B168" s="247" t="s">
        <v>334</v>
      </c>
      <c r="C168" s="247" t="s">
        <v>492</v>
      </c>
      <c r="D168" s="248">
        <v>0.48</v>
      </c>
      <c r="E168" s="248"/>
      <c r="F168" s="248"/>
      <c r="G168" s="249"/>
      <c r="H168" s="250">
        <f t="shared" ref="H168:H206" si="29">SUM(D168:G168)</f>
        <v>0.48</v>
      </c>
      <c r="I168" s="251"/>
      <c r="J168" s="290"/>
      <c r="K168" s="253">
        <f>((D168)*1.023*1.01-(D168)*0.023*0.15)*8.1*1000</f>
        <v>4003.78</v>
      </c>
      <c r="L168" s="253"/>
      <c r="M168" s="253"/>
      <c r="N168" s="253"/>
      <c r="O168" s="253">
        <f t="shared" si="26"/>
        <v>4003.78</v>
      </c>
    </row>
    <row r="169" spans="1:16" s="231" customFormat="1" ht="15.75" customHeight="1" outlineLevel="1" x14ac:dyDescent="0.2">
      <c r="A169" s="284" t="s">
        <v>471</v>
      </c>
      <c r="B169" s="285" t="s">
        <v>323</v>
      </c>
      <c r="C169" s="285" t="s">
        <v>324</v>
      </c>
      <c r="D169" s="286">
        <f>SUM(D170:D172)</f>
        <v>55.36</v>
      </c>
      <c r="E169" s="286"/>
      <c r="F169" s="286"/>
      <c r="G169" s="287"/>
      <c r="H169" s="288">
        <f t="shared" si="29"/>
        <v>55.36</v>
      </c>
      <c r="I169" s="289"/>
      <c r="J169" s="230"/>
      <c r="K169" s="242">
        <f>SUM(K170:K172)</f>
        <v>461769.82</v>
      </c>
      <c r="L169" s="242"/>
      <c r="M169" s="242"/>
      <c r="N169" s="242"/>
      <c r="O169" s="242">
        <f t="shared" ref="O169:O200" si="30">SUM(K169:N169)</f>
        <v>461769.82</v>
      </c>
    </row>
    <row r="170" spans="1:16" s="291" customFormat="1" outlineLevel="2" x14ac:dyDescent="0.2">
      <c r="A170" s="246" t="s">
        <v>826</v>
      </c>
      <c r="B170" s="247"/>
      <c r="C170" s="247" t="s">
        <v>374</v>
      </c>
      <c r="D170" s="248">
        <f>18.37-0.01</f>
        <v>18.36</v>
      </c>
      <c r="E170" s="248"/>
      <c r="F170" s="248"/>
      <c r="G170" s="249"/>
      <c r="H170" s="250">
        <f t="shared" si="29"/>
        <v>18.36</v>
      </c>
      <c r="I170" s="251"/>
      <c r="J170" s="290"/>
      <c r="K170" s="253">
        <f>((D170)*1.023*1.01-(D170)*0.023*0.15)*8.1*1000</f>
        <v>153144.76</v>
      </c>
      <c r="L170" s="253"/>
      <c r="M170" s="253"/>
      <c r="N170" s="253"/>
      <c r="O170" s="253">
        <f t="shared" si="30"/>
        <v>153144.76</v>
      </c>
    </row>
    <row r="171" spans="1:16" s="291" customFormat="1" outlineLevel="2" x14ac:dyDescent="0.2">
      <c r="A171" s="246" t="s">
        <v>827</v>
      </c>
      <c r="B171" s="247"/>
      <c r="C171" s="247" t="s">
        <v>476</v>
      </c>
      <c r="D171" s="248">
        <v>35.700000000000003</v>
      </c>
      <c r="E171" s="248"/>
      <c r="F171" s="248"/>
      <c r="G171" s="249"/>
      <c r="H171" s="250">
        <f t="shared" si="29"/>
        <v>35.700000000000003</v>
      </c>
      <c r="I171" s="251"/>
      <c r="J171" s="290"/>
      <c r="K171" s="253">
        <f>((D171)*1.023*1.01-(D171)*0.023*0.15)*8.1*1000</f>
        <v>297781.48</v>
      </c>
      <c r="L171" s="253"/>
      <c r="M171" s="253"/>
      <c r="N171" s="253"/>
      <c r="O171" s="253">
        <f t="shared" si="30"/>
        <v>297781.48</v>
      </c>
    </row>
    <row r="172" spans="1:16" s="291" customFormat="1" ht="38.25" outlineLevel="2" x14ac:dyDescent="0.2">
      <c r="A172" s="246" t="s">
        <v>828</v>
      </c>
      <c r="B172" s="247" t="s">
        <v>334</v>
      </c>
      <c r="C172" s="247" t="s">
        <v>494</v>
      </c>
      <c r="D172" s="248">
        <v>1.3</v>
      </c>
      <c r="E172" s="248"/>
      <c r="F172" s="248"/>
      <c r="G172" s="249"/>
      <c r="H172" s="250">
        <f t="shared" si="29"/>
        <v>1.3</v>
      </c>
      <c r="I172" s="251"/>
      <c r="J172" s="290"/>
      <c r="K172" s="253">
        <f>((D172)*1.023*1.01-(D172)*0.023*0.15)*8.1*1000</f>
        <v>10843.58</v>
      </c>
      <c r="L172" s="253"/>
      <c r="M172" s="253"/>
      <c r="N172" s="253"/>
      <c r="O172" s="253">
        <f t="shared" si="30"/>
        <v>10843.58</v>
      </c>
    </row>
    <row r="173" spans="1:16" s="231" customFormat="1" outlineLevel="1" x14ac:dyDescent="0.2">
      <c r="A173" s="284" t="s">
        <v>829</v>
      </c>
      <c r="B173" s="285" t="s">
        <v>325</v>
      </c>
      <c r="C173" s="285" t="s">
        <v>326</v>
      </c>
      <c r="D173" s="286">
        <f>SUM(D174:D176)</f>
        <v>3339.39</v>
      </c>
      <c r="E173" s="286"/>
      <c r="F173" s="286"/>
      <c r="G173" s="287"/>
      <c r="H173" s="288">
        <f t="shared" si="29"/>
        <v>3339.39</v>
      </c>
      <c r="I173" s="289"/>
      <c r="J173" s="230"/>
      <c r="K173" s="242">
        <f>SUM(K174:K176)</f>
        <v>27854579.98</v>
      </c>
      <c r="L173" s="242"/>
      <c r="M173" s="242"/>
      <c r="N173" s="242"/>
      <c r="O173" s="242">
        <f t="shared" si="30"/>
        <v>27854579.98</v>
      </c>
      <c r="P173" s="705" t="s">
        <v>760</v>
      </c>
    </row>
    <row r="174" spans="1:16" s="255" customFormat="1" ht="25.5" outlineLevel="2" x14ac:dyDescent="0.2">
      <c r="A174" s="246" t="s">
        <v>830</v>
      </c>
      <c r="B174" s="247"/>
      <c r="C174" s="247" t="s">
        <v>477</v>
      </c>
      <c r="D174" s="248">
        <v>1390.21</v>
      </c>
      <c r="E174" s="248"/>
      <c r="F174" s="248"/>
      <c r="G174" s="249"/>
      <c r="H174" s="250">
        <f t="shared" si="29"/>
        <v>1390.21</v>
      </c>
      <c r="I174" s="251"/>
      <c r="J174" s="252"/>
      <c r="K174" s="253">
        <f>((D174)*1.023*1.01-(D174)*0.023*0.15)*8.1*1000</f>
        <v>11596044.68</v>
      </c>
      <c r="L174" s="253"/>
      <c r="M174" s="253"/>
      <c r="N174" s="253"/>
      <c r="O174" s="253">
        <f t="shared" si="30"/>
        <v>11596044.68</v>
      </c>
      <c r="P174" s="705"/>
    </row>
    <row r="175" spans="1:16" s="255" customFormat="1" ht="29.25" customHeight="1" outlineLevel="2" x14ac:dyDescent="0.2">
      <c r="A175" s="246" t="s">
        <v>831</v>
      </c>
      <c r="B175" s="247"/>
      <c r="C175" s="247" t="s">
        <v>478</v>
      </c>
      <c r="D175" s="248">
        <f>1772.44+0.01</f>
        <v>1772.45</v>
      </c>
      <c r="E175" s="248"/>
      <c r="F175" s="248"/>
      <c r="G175" s="249"/>
      <c r="H175" s="250">
        <f t="shared" si="29"/>
        <v>1772.45</v>
      </c>
      <c r="I175" s="251"/>
      <c r="J175" s="252"/>
      <c r="K175" s="253">
        <f>((D175)*1.023*1.01-(D175)*0.023*0.15)*8.1*1000</f>
        <v>14784391.84</v>
      </c>
      <c r="L175" s="253"/>
      <c r="M175" s="253"/>
      <c r="N175" s="253"/>
      <c r="O175" s="253">
        <f t="shared" si="30"/>
        <v>14784391.84</v>
      </c>
      <c r="P175" s="705"/>
    </row>
    <row r="176" spans="1:16" s="255" customFormat="1" ht="38.25" outlineLevel="2" x14ac:dyDescent="0.2">
      <c r="A176" s="246" t="s">
        <v>832</v>
      </c>
      <c r="B176" s="247"/>
      <c r="C176" s="247" t="s">
        <v>495</v>
      </c>
      <c r="D176" s="248">
        <v>176.73</v>
      </c>
      <c r="E176" s="248"/>
      <c r="F176" s="248"/>
      <c r="G176" s="249"/>
      <c r="H176" s="250">
        <f t="shared" si="29"/>
        <v>176.73</v>
      </c>
      <c r="I176" s="251"/>
      <c r="J176" s="252"/>
      <c r="K176" s="253">
        <f>((D176)*1.023*1.01-(D176)*0.023*0.15)*8.1*1000</f>
        <v>1474143.46</v>
      </c>
      <c r="L176" s="253"/>
      <c r="M176" s="253"/>
      <c r="N176" s="253"/>
      <c r="O176" s="253">
        <f t="shared" si="30"/>
        <v>1474143.46</v>
      </c>
    </row>
    <row r="177" spans="1:16" s="231" customFormat="1" outlineLevel="1" x14ac:dyDescent="0.2">
      <c r="A177" s="284" t="s">
        <v>833</v>
      </c>
      <c r="B177" s="285" t="s">
        <v>327</v>
      </c>
      <c r="C177" s="285" t="s">
        <v>328</v>
      </c>
      <c r="D177" s="286">
        <f>SUM(D178:D187)</f>
        <v>36716.089999999997</v>
      </c>
      <c r="E177" s="286"/>
      <c r="F177" s="286"/>
      <c r="G177" s="287"/>
      <c r="H177" s="288">
        <f t="shared" si="29"/>
        <v>36716.089999999997</v>
      </c>
      <c r="I177" s="289"/>
      <c r="J177" s="230"/>
      <c r="K177" s="242">
        <f>SUM(K178:K187)</f>
        <v>306256910.80000001</v>
      </c>
      <c r="L177" s="242"/>
      <c r="M177" s="242"/>
      <c r="N177" s="242"/>
      <c r="O177" s="242">
        <f t="shared" si="30"/>
        <v>306256910.80000001</v>
      </c>
      <c r="P177" s="705" t="s">
        <v>760</v>
      </c>
    </row>
    <row r="178" spans="1:16" s="255" customFormat="1" outlineLevel="2" x14ac:dyDescent="0.2">
      <c r="A178" s="246" t="s">
        <v>834</v>
      </c>
      <c r="B178" s="247"/>
      <c r="C178" s="247" t="s">
        <v>479</v>
      </c>
      <c r="D178" s="248">
        <f>6265.51-0.01</f>
        <v>6265.5</v>
      </c>
      <c r="E178" s="248"/>
      <c r="F178" s="248"/>
      <c r="G178" s="249"/>
      <c r="H178" s="250">
        <f t="shared" si="29"/>
        <v>6265.5</v>
      </c>
      <c r="I178" s="251"/>
      <c r="J178" s="252"/>
      <c r="K178" s="253">
        <f t="shared" ref="K178:K187" si="31">((D178)*1.023*1.01-(D178)*0.023*0.15)*8.1*1000</f>
        <v>52261901.380000003</v>
      </c>
      <c r="L178" s="253"/>
      <c r="M178" s="253"/>
      <c r="N178" s="253"/>
      <c r="O178" s="253">
        <f t="shared" si="30"/>
        <v>52261901.380000003</v>
      </c>
      <c r="P178" s="705"/>
    </row>
    <row r="179" spans="1:16" s="255" customFormat="1" outlineLevel="2" x14ac:dyDescent="0.2">
      <c r="A179" s="246" t="s">
        <v>835</v>
      </c>
      <c r="B179" s="247"/>
      <c r="C179" s="247" t="s">
        <v>480</v>
      </c>
      <c r="D179" s="248">
        <v>3929.94</v>
      </c>
      <c r="E179" s="248"/>
      <c r="F179" s="248"/>
      <c r="G179" s="249"/>
      <c r="H179" s="250">
        <f t="shared" si="29"/>
        <v>3929.94</v>
      </c>
      <c r="I179" s="251"/>
      <c r="J179" s="252"/>
      <c r="K179" s="253">
        <f t="shared" si="31"/>
        <v>32780486.27</v>
      </c>
      <c r="L179" s="253"/>
      <c r="M179" s="253"/>
      <c r="N179" s="253"/>
      <c r="O179" s="253">
        <f t="shared" si="30"/>
        <v>32780486.27</v>
      </c>
      <c r="P179" s="705"/>
    </row>
    <row r="180" spans="1:16" s="255" customFormat="1" outlineLevel="2" x14ac:dyDescent="0.2">
      <c r="A180" s="246" t="s">
        <v>836</v>
      </c>
      <c r="B180" s="247"/>
      <c r="C180" s="247" t="s">
        <v>485</v>
      </c>
      <c r="D180" s="248">
        <v>2404.4899999999998</v>
      </c>
      <c r="E180" s="248"/>
      <c r="F180" s="248"/>
      <c r="G180" s="249"/>
      <c r="H180" s="250">
        <f t="shared" si="29"/>
        <v>2404.4899999999998</v>
      </c>
      <c r="I180" s="251"/>
      <c r="J180" s="252"/>
      <c r="K180" s="253">
        <f t="shared" si="31"/>
        <v>20056375.27</v>
      </c>
      <c r="L180" s="253"/>
      <c r="M180" s="253"/>
      <c r="N180" s="253"/>
      <c r="O180" s="253">
        <f t="shared" si="30"/>
        <v>20056375.27</v>
      </c>
      <c r="P180" s="705"/>
    </row>
    <row r="181" spans="1:16" s="255" customFormat="1" outlineLevel="2" x14ac:dyDescent="0.2">
      <c r="A181" s="246" t="s">
        <v>837</v>
      </c>
      <c r="B181" s="247"/>
      <c r="C181" s="247" t="s">
        <v>486</v>
      </c>
      <c r="D181" s="248">
        <v>2744.49</v>
      </c>
      <c r="E181" s="248"/>
      <c r="F181" s="248"/>
      <c r="G181" s="249"/>
      <c r="H181" s="250">
        <f t="shared" si="29"/>
        <v>2744.49</v>
      </c>
      <c r="I181" s="251"/>
      <c r="J181" s="252"/>
      <c r="K181" s="253">
        <f t="shared" si="31"/>
        <v>22892389.390000001</v>
      </c>
      <c r="L181" s="253"/>
      <c r="M181" s="253"/>
      <c r="N181" s="253"/>
      <c r="O181" s="253">
        <f t="shared" si="30"/>
        <v>22892389.390000001</v>
      </c>
      <c r="P181" s="705"/>
    </row>
    <row r="182" spans="1:16" s="255" customFormat="1" outlineLevel="2" x14ac:dyDescent="0.2">
      <c r="A182" s="246" t="s">
        <v>838</v>
      </c>
      <c r="B182" s="247"/>
      <c r="C182" s="247" t="s">
        <v>484</v>
      </c>
      <c r="D182" s="248">
        <f>4741.33-0.01</f>
        <v>4741.32</v>
      </c>
      <c r="E182" s="248"/>
      <c r="F182" s="248"/>
      <c r="G182" s="249"/>
      <c r="H182" s="250">
        <f t="shared" si="29"/>
        <v>4741.32</v>
      </c>
      <c r="I182" s="251"/>
      <c r="J182" s="252"/>
      <c r="K182" s="253">
        <f t="shared" si="31"/>
        <v>39548383.729999997</v>
      </c>
      <c r="L182" s="253"/>
      <c r="M182" s="253"/>
      <c r="N182" s="253"/>
      <c r="O182" s="253">
        <f t="shared" si="30"/>
        <v>39548383.729999997</v>
      </c>
      <c r="P182" s="705"/>
    </row>
    <row r="183" spans="1:16" s="255" customFormat="1" outlineLevel="2" x14ac:dyDescent="0.2">
      <c r="A183" s="246" t="s">
        <v>839</v>
      </c>
      <c r="B183" s="247"/>
      <c r="C183" s="247" t="s">
        <v>481</v>
      </c>
      <c r="D183" s="248">
        <f>3318.87-0.01</f>
        <v>3318.86</v>
      </c>
      <c r="E183" s="248"/>
      <c r="F183" s="248"/>
      <c r="G183" s="249"/>
      <c r="H183" s="250">
        <f t="shared" si="29"/>
        <v>3318.86</v>
      </c>
      <c r="I183" s="251"/>
      <c r="J183" s="252"/>
      <c r="K183" s="253">
        <f t="shared" si="31"/>
        <v>27683334.77</v>
      </c>
      <c r="L183" s="253"/>
      <c r="M183" s="253"/>
      <c r="N183" s="253"/>
      <c r="O183" s="253">
        <f t="shared" si="30"/>
        <v>27683334.77</v>
      </c>
      <c r="P183" s="705"/>
    </row>
    <row r="184" spans="1:16" s="255" customFormat="1" outlineLevel="2" x14ac:dyDescent="0.2">
      <c r="A184" s="246" t="s">
        <v>840</v>
      </c>
      <c r="B184" s="247"/>
      <c r="C184" s="247" t="s">
        <v>482</v>
      </c>
      <c r="D184" s="248">
        <v>4047.37</v>
      </c>
      <c r="E184" s="248"/>
      <c r="F184" s="248"/>
      <c r="G184" s="249"/>
      <c r="H184" s="250">
        <f t="shared" si="29"/>
        <v>4047.37</v>
      </c>
      <c r="I184" s="251"/>
      <c r="J184" s="252"/>
      <c r="K184" s="253">
        <f t="shared" si="31"/>
        <v>33759995.5</v>
      </c>
      <c r="L184" s="253"/>
      <c r="M184" s="253"/>
      <c r="N184" s="253"/>
      <c r="O184" s="253">
        <f t="shared" si="30"/>
        <v>33759995.5</v>
      </c>
      <c r="P184" s="705"/>
    </row>
    <row r="185" spans="1:16" s="255" customFormat="1" outlineLevel="2" x14ac:dyDescent="0.2">
      <c r="A185" s="246" t="s">
        <v>841</v>
      </c>
      <c r="B185" s="247"/>
      <c r="C185" s="247" t="s">
        <v>483</v>
      </c>
      <c r="D185" s="248">
        <f>4180.53-0.01</f>
        <v>4180.5200000000004</v>
      </c>
      <c r="E185" s="248"/>
      <c r="F185" s="248"/>
      <c r="G185" s="249"/>
      <c r="H185" s="250">
        <f t="shared" si="29"/>
        <v>4180.5200000000004</v>
      </c>
      <c r="I185" s="251"/>
      <c r="J185" s="252"/>
      <c r="K185" s="253">
        <f t="shared" si="31"/>
        <v>34870628.670000002</v>
      </c>
      <c r="L185" s="253"/>
      <c r="M185" s="253"/>
      <c r="N185" s="253"/>
      <c r="O185" s="253">
        <f t="shared" si="30"/>
        <v>34870628.670000002</v>
      </c>
      <c r="P185" s="705"/>
    </row>
    <row r="186" spans="1:16" s="255" customFormat="1" outlineLevel="2" x14ac:dyDescent="0.2">
      <c r="A186" s="246" t="s">
        <v>842</v>
      </c>
      <c r="B186" s="247"/>
      <c r="C186" s="247" t="s">
        <v>487</v>
      </c>
      <c r="D186" s="248">
        <f>4901.71-0.01</f>
        <v>4901.7</v>
      </c>
      <c r="E186" s="248"/>
      <c r="F186" s="248"/>
      <c r="G186" s="249"/>
      <c r="H186" s="250">
        <f t="shared" si="29"/>
        <v>4901.7</v>
      </c>
      <c r="I186" s="251"/>
      <c r="J186" s="252"/>
      <c r="K186" s="253">
        <f t="shared" si="31"/>
        <v>40886148.270000003</v>
      </c>
      <c r="L186" s="253"/>
      <c r="M186" s="253"/>
      <c r="N186" s="253"/>
      <c r="O186" s="253">
        <f t="shared" si="30"/>
        <v>40886148.270000003</v>
      </c>
      <c r="P186" s="705"/>
    </row>
    <row r="187" spans="1:16" s="255" customFormat="1" ht="38.25" outlineLevel="2" x14ac:dyDescent="0.2">
      <c r="A187" s="246" t="s">
        <v>843</v>
      </c>
      <c r="B187" s="247" t="s">
        <v>334</v>
      </c>
      <c r="C187" s="247" t="s">
        <v>496</v>
      </c>
      <c r="D187" s="248">
        <v>181.9</v>
      </c>
      <c r="E187" s="248"/>
      <c r="F187" s="248"/>
      <c r="G187" s="249"/>
      <c r="H187" s="250">
        <f t="shared" si="29"/>
        <v>181.9</v>
      </c>
      <c r="I187" s="251"/>
      <c r="J187" s="252"/>
      <c r="K187" s="253">
        <f t="shared" si="31"/>
        <v>1517267.55</v>
      </c>
      <c r="L187" s="253"/>
      <c r="M187" s="253"/>
      <c r="N187" s="253"/>
      <c r="O187" s="253">
        <f t="shared" si="30"/>
        <v>1517267.55</v>
      </c>
    </row>
    <row r="188" spans="1:16" s="231" customFormat="1" ht="25.5" outlineLevel="2" x14ac:dyDescent="0.2">
      <c r="A188" s="284" t="s">
        <v>844</v>
      </c>
      <c r="B188" s="285"/>
      <c r="C188" s="285" t="s">
        <v>809</v>
      </c>
      <c r="D188" s="286">
        <f>SUM(D189:D190)</f>
        <v>561.27</v>
      </c>
      <c r="E188" s="286"/>
      <c r="F188" s="286"/>
      <c r="G188" s="287"/>
      <c r="H188" s="288">
        <f t="shared" si="29"/>
        <v>561.27</v>
      </c>
      <c r="I188" s="289"/>
      <c r="J188" s="230"/>
      <c r="K188" s="242">
        <f>SUM(K189:K190)</f>
        <v>4681675.43</v>
      </c>
      <c r="L188" s="242"/>
      <c r="M188" s="242"/>
      <c r="N188" s="242"/>
      <c r="O188" s="242">
        <f t="shared" si="30"/>
        <v>4681675.43</v>
      </c>
      <c r="P188" s="256"/>
    </row>
    <row r="189" spans="1:16" s="255" customFormat="1" ht="25.5" outlineLevel="1" x14ac:dyDescent="0.2">
      <c r="A189" s="246" t="s">
        <v>860</v>
      </c>
      <c r="B189" s="247" t="s">
        <v>329</v>
      </c>
      <c r="C189" s="247" t="s">
        <v>809</v>
      </c>
      <c r="D189" s="248">
        <f>1424.21*'Противоэроз защита'!B28/'Противоэроз защита'!$B$24</f>
        <v>561</v>
      </c>
      <c r="E189" s="248"/>
      <c r="F189" s="248"/>
      <c r="G189" s="249"/>
      <c r="H189" s="250">
        <f t="shared" si="29"/>
        <v>561</v>
      </c>
      <c r="I189" s="251"/>
      <c r="J189" s="252"/>
      <c r="K189" s="253">
        <f>((D189)*1.023*1.01-(D189)*0.023*0.15)*8.1*1000</f>
        <v>4679423.3</v>
      </c>
      <c r="L189" s="253"/>
      <c r="M189" s="253"/>
      <c r="N189" s="253"/>
      <c r="O189" s="250">
        <f t="shared" si="30"/>
        <v>4679423.3</v>
      </c>
      <c r="P189" s="254"/>
    </row>
    <row r="190" spans="1:16" s="255" customFormat="1" ht="38.25" outlineLevel="1" x14ac:dyDescent="0.2">
      <c r="A190" s="246" t="s">
        <v>861</v>
      </c>
      <c r="B190" s="247" t="s">
        <v>334</v>
      </c>
      <c r="C190" s="247" t="s">
        <v>497</v>
      </c>
      <c r="D190" s="248">
        <f>0.68*'Противоэроз защита'!B28/'Противоэроз защита'!$B$24</f>
        <v>0.27</v>
      </c>
      <c r="E190" s="248"/>
      <c r="F190" s="248"/>
      <c r="G190" s="249"/>
      <c r="H190" s="250">
        <f t="shared" si="29"/>
        <v>0.27</v>
      </c>
      <c r="I190" s="251"/>
      <c r="J190" s="252"/>
      <c r="K190" s="253">
        <f>((D190)*1.023*1.01-(D190)*0.023*0.15)*8.1*1000</f>
        <v>2252.13</v>
      </c>
      <c r="L190" s="253">
        <f>((E190)*1.023*1.01-(E190)*0.023*0.15)*8.1*1000</f>
        <v>0</v>
      </c>
      <c r="M190" s="253">
        <f>F190*4.09*1000</f>
        <v>0</v>
      </c>
      <c r="N190" s="253"/>
      <c r="O190" s="253">
        <f t="shared" si="30"/>
        <v>2252.13</v>
      </c>
    </row>
    <row r="191" spans="1:16" s="241" customFormat="1" x14ac:dyDescent="0.2">
      <c r="A191" s="245" t="s">
        <v>340</v>
      </c>
      <c r="B191" s="235"/>
      <c r="C191" s="235" t="s">
        <v>857</v>
      </c>
      <c r="D191" s="237">
        <f>D192+D195+D199+D204</f>
        <v>6666.65</v>
      </c>
      <c r="E191" s="243"/>
      <c r="F191" s="243"/>
      <c r="G191" s="243"/>
      <c r="H191" s="244">
        <f t="shared" si="29"/>
        <v>6666.65</v>
      </c>
      <c r="I191" s="238"/>
      <c r="J191" s="239"/>
      <c r="K191" s="240">
        <f>K192+K195+K199+K204</f>
        <v>55607980.979999997</v>
      </c>
      <c r="L191" s="240"/>
      <c r="M191" s="240"/>
      <c r="N191" s="240"/>
      <c r="O191" s="240">
        <f t="shared" si="30"/>
        <v>55607980.979999997</v>
      </c>
    </row>
    <row r="192" spans="1:16" s="231" customFormat="1" ht="25.5" outlineLevel="1" x14ac:dyDescent="0.2">
      <c r="A192" s="284" t="s">
        <v>473</v>
      </c>
      <c r="B192" s="285"/>
      <c r="C192" s="285" t="s">
        <v>810</v>
      </c>
      <c r="D192" s="286">
        <f>SUM(D193:D194)</f>
        <v>502.4</v>
      </c>
      <c r="E192" s="286"/>
      <c r="F192" s="286"/>
      <c r="G192" s="287"/>
      <c r="H192" s="288">
        <f t="shared" si="29"/>
        <v>502.4</v>
      </c>
      <c r="I192" s="289"/>
      <c r="J192" s="230"/>
      <c r="K192" s="286">
        <f>SUM(K193:K194)</f>
        <v>4190627.92</v>
      </c>
      <c r="L192" s="242"/>
      <c r="M192" s="242"/>
      <c r="N192" s="242"/>
      <c r="O192" s="242">
        <f t="shared" si="30"/>
        <v>4190627.92</v>
      </c>
      <c r="P192" s="256"/>
    </row>
    <row r="193" spans="1:16" s="255" customFormat="1" ht="25.5" outlineLevel="1" x14ac:dyDescent="0.2">
      <c r="A193" s="246" t="s">
        <v>867</v>
      </c>
      <c r="B193" s="247" t="s">
        <v>329</v>
      </c>
      <c r="C193" s="247" t="s">
        <v>810</v>
      </c>
      <c r="D193" s="248">
        <f>1424.21*'Противоэроз защита'!B29/'Противоэроз защита'!$B$24</f>
        <v>502.16</v>
      </c>
      <c r="E193" s="248"/>
      <c r="F193" s="248"/>
      <c r="G193" s="249"/>
      <c r="H193" s="250">
        <f t="shared" si="29"/>
        <v>502.16</v>
      </c>
      <c r="I193" s="251"/>
      <c r="J193" s="252"/>
      <c r="K193" s="253">
        <f>((D193)*1.023*1.01-(D193)*0.023*0.15)*8.1*1000</f>
        <v>4188626.03</v>
      </c>
      <c r="L193" s="253"/>
      <c r="M193" s="253"/>
      <c r="N193" s="253"/>
      <c r="O193" s="253">
        <f t="shared" si="30"/>
        <v>4188626.03</v>
      </c>
      <c r="P193" s="254"/>
    </row>
    <row r="194" spans="1:16" s="255" customFormat="1" ht="38.25" outlineLevel="1" x14ac:dyDescent="0.2">
      <c r="A194" s="246" t="s">
        <v>868</v>
      </c>
      <c r="B194" s="247" t="s">
        <v>334</v>
      </c>
      <c r="C194" s="247" t="s">
        <v>497</v>
      </c>
      <c r="D194" s="248">
        <f>0.68*'Противоэроз защита'!B29/'Противоэроз защита'!$B$24</f>
        <v>0.24</v>
      </c>
      <c r="E194" s="248"/>
      <c r="F194" s="248"/>
      <c r="G194" s="249"/>
      <c r="H194" s="250">
        <f t="shared" si="29"/>
        <v>0.24</v>
      </c>
      <c r="I194" s="251"/>
      <c r="J194" s="252"/>
      <c r="K194" s="253">
        <f>((D194)*1.023*1.01-(D194)*0.023*0.15)*8.1*1000</f>
        <v>2001.89</v>
      </c>
      <c r="L194" s="253"/>
      <c r="M194" s="253"/>
      <c r="N194" s="253"/>
      <c r="O194" s="253">
        <f t="shared" si="30"/>
        <v>2001.89</v>
      </c>
    </row>
    <row r="195" spans="1:16" s="231" customFormat="1" outlineLevel="1" x14ac:dyDescent="0.2">
      <c r="A195" s="284" t="s">
        <v>474</v>
      </c>
      <c r="B195" s="285" t="s">
        <v>330</v>
      </c>
      <c r="C195" s="285" t="s">
        <v>324</v>
      </c>
      <c r="D195" s="286">
        <f>SUM(D196:D198)</f>
        <v>217.62</v>
      </c>
      <c r="E195" s="286"/>
      <c r="F195" s="286"/>
      <c r="G195" s="287"/>
      <c r="H195" s="288">
        <f t="shared" si="29"/>
        <v>217.62</v>
      </c>
      <c r="I195" s="289"/>
      <c r="J195" s="230"/>
      <c r="K195" s="242">
        <f>SUM(K196:K198)</f>
        <v>1815215.86</v>
      </c>
      <c r="L195" s="242"/>
      <c r="M195" s="242"/>
      <c r="N195" s="242"/>
      <c r="O195" s="242">
        <f t="shared" si="30"/>
        <v>1815215.86</v>
      </c>
    </row>
    <row r="196" spans="1:16" s="255" customFormat="1" outlineLevel="2" x14ac:dyDescent="0.2">
      <c r="A196" s="246" t="s">
        <v>845</v>
      </c>
      <c r="B196" s="247"/>
      <c r="C196" s="247" t="s">
        <v>374</v>
      </c>
      <c r="D196" s="248">
        <v>123.22</v>
      </c>
      <c r="E196" s="248"/>
      <c r="F196" s="248"/>
      <c r="G196" s="249"/>
      <c r="H196" s="250">
        <f t="shared" si="29"/>
        <v>123.22</v>
      </c>
      <c r="I196" s="251"/>
      <c r="J196" s="252"/>
      <c r="K196" s="253">
        <f>((D196)*1.023*1.01-(D196)*0.023*0.15)*8.1*1000</f>
        <v>1027804.88</v>
      </c>
      <c r="L196" s="253"/>
      <c r="M196" s="253"/>
      <c r="N196" s="253"/>
      <c r="O196" s="253">
        <f t="shared" si="30"/>
        <v>1027804.88</v>
      </c>
    </row>
    <row r="197" spans="1:16" s="255" customFormat="1" outlineLevel="2" x14ac:dyDescent="0.2">
      <c r="A197" s="246" t="s">
        <v>846</v>
      </c>
      <c r="B197" s="247"/>
      <c r="C197" s="247" t="s">
        <v>476</v>
      </c>
      <c r="D197" s="248">
        <v>87.86</v>
      </c>
      <c r="E197" s="248"/>
      <c r="F197" s="248"/>
      <c r="G197" s="249"/>
      <c r="H197" s="250">
        <f t="shared" si="29"/>
        <v>87.86</v>
      </c>
      <c r="I197" s="251"/>
      <c r="J197" s="252"/>
      <c r="K197" s="253">
        <f>((D197)*1.023*1.01-(D197)*0.023*0.15)*8.1*1000</f>
        <v>732859.41</v>
      </c>
      <c r="L197" s="253"/>
      <c r="M197" s="253"/>
      <c r="N197" s="253"/>
      <c r="O197" s="253">
        <f t="shared" si="30"/>
        <v>732859.41</v>
      </c>
    </row>
    <row r="198" spans="1:16" s="255" customFormat="1" ht="38.25" outlineLevel="1" x14ac:dyDescent="0.2">
      <c r="A198" s="246" t="s">
        <v>847</v>
      </c>
      <c r="B198" s="247" t="s">
        <v>334</v>
      </c>
      <c r="C198" s="247" t="s">
        <v>498</v>
      </c>
      <c r="D198" s="248">
        <v>6.54</v>
      </c>
      <c r="E198" s="248"/>
      <c r="F198" s="248"/>
      <c r="G198" s="249"/>
      <c r="H198" s="250">
        <f t="shared" si="29"/>
        <v>6.54</v>
      </c>
      <c r="I198" s="251"/>
      <c r="J198" s="252"/>
      <c r="K198" s="253">
        <f>((D198)*1.023*1.01-(D198)*0.023*0.15)*8.1*1000</f>
        <v>54551.57</v>
      </c>
      <c r="L198" s="253"/>
      <c r="M198" s="253"/>
      <c r="N198" s="253"/>
      <c r="O198" s="253">
        <f t="shared" si="30"/>
        <v>54551.57</v>
      </c>
    </row>
    <row r="199" spans="1:16" s="231" customFormat="1" outlineLevel="1" x14ac:dyDescent="0.2">
      <c r="A199" s="284" t="s">
        <v>848</v>
      </c>
      <c r="B199" s="285" t="s">
        <v>331</v>
      </c>
      <c r="C199" s="285" t="s">
        <v>332</v>
      </c>
      <c r="D199" s="286">
        <f>SUM(D200:D203)</f>
        <v>3830.78</v>
      </c>
      <c r="E199" s="286"/>
      <c r="F199" s="286"/>
      <c r="G199" s="287"/>
      <c r="H199" s="288">
        <f t="shared" si="29"/>
        <v>3830.78</v>
      </c>
      <c r="I199" s="289"/>
      <c r="J199" s="230"/>
      <c r="K199" s="242">
        <f>SUM(K200:K203)</f>
        <v>31953371.09</v>
      </c>
      <c r="L199" s="242"/>
      <c r="M199" s="242"/>
      <c r="N199" s="242"/>
      <c r="O199" s="242">
        <f t="shared" si="30"/>
        <v>31953371.09</v>
      </c>
    </row>
    <row r="200" spans="1:16" s="255" customFormat="1" ht="25.5" outlineLevel="2" x14ac:dyDescent="0.2">
      <c r="A200" s="246" t="s">
        <v>849</v>
      </c>
      <c r="B200" s="247"/>
      <c r="C200" s="247" t="s">
        <v>488</v>
      </c>
      <c r="D200" s="568">
        <f>1063.71*0</f>
        <v>0</v>
      </c>
      <c r="E200" s="248"/>
      <c r="F200" s="248"/>
      <c r="G200" s="249"/>
      <c r="H200" s="250">
        <f t="shared" si="29"/>
        <v>0</v>
      </c>
      <c r="I200" s="251"/>
      <c r="J200" s="252"/>
      <c r="K200" s="253">
        <f>((D200)*1.023*1.01-(D200)*0.023*0.15)*8.1*1000</f>
        <v>0</v>
      </c>
      <c r="L200" s="253"/>
      <c r="M200" s="253"/>
      <c r="N200" s="253"/>
      <c r="O200" s="253">
        <f t="shared" si="30"/>
        <v>0</v>
      </c>
    </row>
    <row r="201" spans="1:16" s="255" customFormat="1" ht="25.5" outlineLevel="2" x14ac:dyDescent="0.2">
      <c r="A201" s="246" t="s">
        <v>850</v>
      </c>
      <c r="B201" s="247"/>
      <c r="C201" s="247" t="s">
        <v>489</v>
      </c>
      <c r="D201" s="248">
        <v>1945.22</v>
      </c>
      <c r="E201" s="248"/>
      <c r="F201" s="248"/>
      <c r="G201" s="249"/>
      <c r="H201" s="250">
        <f t="shared" si="29"/>
        <v>1945.22</v>
      </c>
      <c r="I201" s="251"/>
      <c r="J201" s="252"/>
      <c r="K201" s="253">
        <f>((D201)*1.023*1.01-(D201)*0.023*0.15)*8.1*1000</f>
        <v>16225504.08</v>
      </c>
      <c r="L201" s="253"/>
      <c r="M201" s="253"/>
      <c r="N201" s="253"/>
      <c r="O201" s="253">
        <f t="shared" ref="O201:O232" si="32">SUM(K201:N201)</f>
        <v>16225504.08</v>
      </c>
    </row>
    <row r="202" spans="1:16" s="255" customFormat="1" ht="25.5" outlineLevel="2" x14ac:dyDescent="0.2">
      <c r="A202" s="246" t="s">
        <v>851</v>
      </c>
      <c r="B202" s="247"/>
      <c r="C202" s="247" t="s">
        <v>490</v>
      </c>
      <c r="D202" s="248">
        <f>1619.98-0.01</f>
        <v>1619.97</v>
      </c>
      <c r="E202" s="248"/>
      <c r="F202" s="248"/>
      <c r="G202" s="249"/>
      <c r="H202" s="250">
        <f t="shared" si="29"/>
        <v>1619.97</v>
      </c>
      <c r="I202" s="251"/>
      <c r="J202" s="252"/>
      <c r="K202" s="253">
        <f>((D202)*1.023*1.01-(D202)*0.023*0.15)*8.1*1000</f>
        <v>13512522.92</v>
      </c>
      <c r="L202" s="253"/>
      <c r="M202" s="253"/>
      <c r="N202" s="253"/>
      <c r="O202" s="253">
        <f t="shared" si="32"/>
        <v>13512522.92</v>
      </c>
    </row>
    <row r="203" spans="1:16" s="255" customFormat="1" ht="38.25" outlineLevel="1" x14ac:dyDescent="0.2">
      <c r="A203" s="246" t="s">
        <v>852</v>
      </c>
      <c r="B203" s="247"/>
      <c r="C203" s="247" t="s">
        <v>499</v>
      </c>
      <c r="D203" s="248">
        <v>265.58999999999997</v>
      </c>
      <c r="E203" s="248"/>
      <c r="F203" s="248"/>
      <c r="G203" s="249"/>
      <c r="H203" s="250">
        <f t="shared" si="29"/>
        <v>265.58999999999997</v>
      </c>
      <c r="I203" s="251"/>
      <c r="J203" s="252"/>
      <c r="K203" s="253">
        <f>((D203)*1.023*1.01-(D203)*0.023*0.15)*8.1*1000</f>
        <v>2215344.09</v>
      </c>
      <c r="L203" s="253"/>
      <c r="M203" s="253"/>
      <c r="N203" s="253"/>
      <c r="O203" s="253">
        <f t="shared" si="32"/>
        <v>2215344.09</v>
      </c>
    </row>
    <row r="204" spans="1:16" s="231" customFormat="1" ht="30.75" customHeight="1" outlineLevel="1" x14ac:dyDescent="0.25">
      <c r="A204" s="284" t="s">
        <v>853</v>
      </c>
      <c r="B204" s="285"/>
      <c r="C204" s="285" t="s">
        <v>862</v>
      </c>
      <c r="D204" s="286">
        <f>SUM(D205:D206)</f>
        <v>2115.85</v>
      </c>
      <c r="E204" s="286"/>
      <c r="F204" s="286"/>
      <c r="G204" s="287"/>
      <c r="H204" s="288">
        <f t="shared" si="29"/>
        <v>2115.85</v>
      </c>
      <c r="I204" s="289"/>
      <c r="J204" s="230"/>
      <c r="K204" s="286">
        <f>SUM(K205:K206)</f>
        <v>17648766.109999999</v>
      </c>
      <c r="L204" s="242"/>
      <c r="M204" s="242"/>
      <c r="N204" s="242"/>
      <c r="O204" s="242">
        <f t="shared" si="32"/>
        <v>17648766.109999999</v>
      </c>
      <c r="P204" s="293" t="s">
        <v>761</v>
      </c>
    </row>
    <row r="205" spans="1:16" s="255" customFormat="1" ht="30.75" customHeight="1" outlineLevel="1" x14ac:dyDescent="0.25">
      <c r="A205" s="246" t="s">
        <v>854</v>
      </c>
      <c r="B205" s="247" t="s">
        <v>333</v>
      </c>
      <c r="C205" s="247" t="s">
        <v>862</v>
      </c>
      <c r="D205" s="248">
        <v>2105.0700000000002</v>
      </c>
      <c r="E205" s="248"/>
      <c r="F205" s="248"/>
      <c r="G205" s="249"/>
      <c r="H205" s="250">
        <f t="shared" si="29"/>
        <v>2105.0700000000002</v>
      </c>
      <c r="I205" s="251"/>
      <c r="J205" s="252"/>
      <c r="K205" s="257">
        <f>((D205)*1.023*1.01-(D205)*0.023*0.15)*8.1*1000</f>
        <v>17558847.780000001</v>
      </c>
      <c r="L205" s="257"/>
      <c r="M205" s="257"/>
      <c r="N205" s="257"/>
      <c r="O205" s="257">
        <f t="shared" si="32"/>
        <v>17558847.780000001</v>
      </c>
      <c r="P205" s="294"/>
    </row>
    <row r="206" spans="1:16" s="255" customFormat="1" ht="38.25" outlineLevel="1" x14ac:dyDescent="0.2">
      <c r="A206" s="246" t="s">
        <v>869</v>
      </c>
      <c r="B206" s="247" t="s">
        <v>334</v>
      </c>
      <c r="C206" s="247" t="s">
        <v>500</v>
      </c>
      <c r="D206" s="248">
        <v>10.78</v>
      </c>
      <c r="E206" s="248"/>
      <c r="F206" s="248"/>
      <c r="G206" s="249"/>
      <c r="H206" s="250">
        <f t="shared" si="29"/>
        <v>10.78</v>
      </c>
      <c r="I206" s="251"/>
      <c r="J206" s="252"/>
      <c r="K206" s="253">
        <f>((D206)*1.023*1.01-(D206)*0.023*0.15)*8.1*1000</f>
        <v>89918.33</v>
      </c>
      <c r="L206" s="253"/>
      <c r="M206" s="253"/>
      <c r="N206" s="253"/>
      <c r="O206" s="253">
        <f t="shared" si="32"/>
        <v>89918.33</v>
      </c>
    </row>
    <row r="207" spans="1:16" s="241" customFormat="1" ht="25.5" x14ac:dyDescent="0.2">
      <c r="A207" s="245">
        <v>8</v>
      </c>
      <c r="B207" s="235" t="s">
        <v>41</v>
      </c>
      <c r="C207" s="235" t="s">
        <v>42</v>
      </c>
      <c r="D207" s="236">
        <f>SUM(D208:D214)</f>
        <v>3593.23</v>
      </c>
      <c r="E207" s="236">
        <f>SUM(E208:E214)</f>
        <v>552.15</v>
      </c>
      <c r="F207" s="236">
        <f>SUM(F208:F214)</f>
        <v>3256.7</v>
      </c>
      <c r="G207" s="243"/>
      <c r="H207" s="244">
        <f>D207+E207+F207+G207</f>
        <v>7402.08</v>
      </c>
      <c r="I207" s="238"/>
      <c r="J207" s="239"/>
      <c r="K207" s="240">
        <f>SUM(K208:K214)</f>
        <v>29971914.75</v>
      </c>
      <c r="L207" s="240">
        <f>SUM(L208:L214)</f>
        <v>4605603.5199999996</v>
      </c>
      <c r="M207" s="240">
        <f>SUM(M208:M214)</f>
        <v>13319903</v>
      </c>
      <c r="N207" s="240"/>
      <c r="O207" s="240">
        <f t="shared" si="32"/>
        <v>47897421.270000003</v>
      </c>
    </row>
    <row r="208" spans="1:16" s="231" customFormat="1" ht="25.5" outlineLevel="1" x14ac:dyDescent="0.2">
      <c r="A208" s="284" t="s">
        <v>501</v>
      </c>
      <c r="B208" s="285"/>
      <c r="C208" s="285" t="s">
        <v>505</v>
      </c>
      <c r="D208" s="286">
        <v>22.79</v>
      </c>
      <c r="E208" s="286"/>
      <c r="F208" s="286"/>
      <c r="G208" s="287"/>
      <c r="H208" s="288"/>
      <c r="I208" s="289"/>
      <c r="J208" s="230"/>
      <c r="K208" s="242">
        <f t="shared" ref="K208:L214" si="33">((D208)*1.023*1.01-(D208)*0.023*0.15)*8.1*1000</f>
        <v>190096.36</v>
      </c>
      <c r="L208" s="242">
        <f t="shared" si="33"/>
        <v>0</v>
      </c>
      <c r="M208" s="242">
        <f t="shared" ref="M208:M214" si="34">F208*4.09*1000</f>
        <v>0</v>
      </c>
      <c r="N208" s="242"/>
      <c r="O208" s="242">
        <f t="shared" si="32"/>
        <v>190096.36</v>
      </c>
    </row>
    <row r="209" spans="1:15" s="231" customFormat="1" ht="38.25" outlineLevel="1" x14ac:dyDescent="0.2">
      <c r="A209" s="284" t="s">
        <v>502</v>
      </c>
      <c r="B209" s="285"/>
      <c r="C209" s="285" t="s">
        <v>506</v>
      </c>
      <c r="D209" s="286">
        <v>5.51</v>
      </c>
      <c r="E209" s="286"/>
      <c r="F209" s="286"/>
      <c r="G209" s="287"/>
      <c r="H209" s="288"/>
      <c r="I209" s="289"/>
      <c r="J209" s="230"/>
      <c r="K209" s="242">
        <f t="shared" si="33"/>
        <v>45960.11</v>
      </c>
      <c r="L209" s="242">
        <f t="shared" si="33"/>
        <v>0</v>
      </c>
      <c r="M209" s="242">
        <f t="shared" si="34"/>
        <v>0</v>
      </c>
      <c r="N209" s="242"/>
      <c r="O209" s="242">
        <f t="shared" si="32"/>
        <v>45960.11</v>
      </c>
    </row>
    <row r="210" spans="1:15" s="231" customFormat="1" ht="25.5" outlineLevel="1" x14ac:dyDescent="0.2">
      <c r="A210" s="284" t="s">
        <v>503</v>
      </c>
      <c r="B210" s="285"/>
      <c r="C210" s="285" t="s">
        <v>507</v>
      </c>
      <c r="D210" s="286">
        <v>1748.67</v>
      </c>
      <c r="E210" s="286"/>
      <c r="F210" s="286"/>
      <c r="G210" s="287"/>
      <c r="H210" s="288"/>
      <c r="I210" s="289"/>
      <c r="J210" s="230"/>
      <c r="K210" s="242">
        <f t="shared" si="33"/>
        <v>14586037.68</v>
      </c>
      <c r="L210" s="242">
        <f t="shared" si="33"/>
        <v>0</v>
      </c>
      <c r="M210" s="242">
        <f t="shared" si="34"/>
        <v>0</v>
      </c>
      <c r="N210" s="242"/>
      <c r="O210" s="242">
        <f t="shared" si="32"/>
        <v>14586037.68</v>
      </c>
    </row>
    <row r="211" spans="1:15" s="231" customFormat="1" ht="26.25" customHeight="1" outlineLevel="1" x14ac:dyDescent="0.2">
      <c r="A211" s="284" t="s">
        <v>504</v>
      </c>
      <c r="B211" s="285"/>
      <c r="C211" s="285" t="s">
        <v>508</v>
      </c>
      <c r="D211" s="286">
        <v>391.3</v>
      </c>
      <c r="E211" s="286"/>
      <c r="F211" s="286"/>
      <c r="G211" s="287"/>
      <c r="H211" s="288"/>
      <c r="I211" s="289"/>
      <c r="J211" s="230"/>
      <c r="K211" s="242">
        <f t="shared" si="33"/>
        <v>3263918.6</v>
      </c>
      <c r="L211" s="242">
        <f t="shared" si="33"/>
        <v>0</v>
      </c>
      <c r="M211" s="242">
        <f t="shared" si="34"/>
        <v>0</v>
      </c>
      <c r="N211" s="242"/>
      <c r="O211" s="242">
        <f t="shared" si="32"/>
        <v>3263918.6</v>
      </c>
    </row>
    <row r="212" spans="1:15" s="231" customFormat="1" ht="12.75" customHeight="1" outlineLevel="1" x14ac:dyDescent="0.2">
      <c r="A212" s="284" t="s">
        <v>509</v>
      </c>
      <c r="B212" s="285"/>
      <c r="C212" s="285" t="s">
        <v>512</v>
      </c>
      <c r="D212" s="286">
        <f>1166.5-0.01</f>
        <v>1166.49</v>
      </c>
      <c r="E212" s="286"/>
      <c r="F212" s="286"/>
      <c r="G212" s="287"/>
      <c r="H212" s="288"/>
      <c r="I212" s="289"/>
      <c r="J212" s="230"/>
      <c r="K212" s="242">
        <f t="shared" si="33"/>
        <v>9729947.3800000008</v>
      </c>
      <c r="L212" s="242">
        <f t="shared" si="33"/>
        <v>0</v>
      </c>
      <c r="M212" s="242">
        <f t="shared" si="34"/>
        <v>0</v>
      </c>
      <c r="N212" s="242"/>
      <c r="O212" s="242">
        <f t="shared" si="32"/>
        <v>9729947.3800000008</v>
      </c>
    </row>
    <row r="213" spans="1:15" s="231" customFormat="1" ht="26.25" customHeight="1" outlineLevel="1" x14ac:dyDescent="0.2">
      <c r="A213" s="284" t="s">
        <v>510</v>
      </c>
      <c r="B213" s="285"/>
      <c r="C213" s="285" t="s">
        <v>513</v>
      </c>
      <c r="D213" s="286">
        <f>324.74-E213</f>
        <v>258.47000000000003</v>
      </c>
      <c r="E213" s="286">
        <v>66.27</v>
      </c>
      <c r="F213" s="286"/>
      <c r="G213" s="287"/>
      <c r="H213" s="288"/>
      <c r="I213" s="289"/>
      <c r="J213" s="230"/>
      <c r="K213" s="242">
        <f t="shared" si="33"/>
        <v>2155954.62</v>
      </c>
      <c r="L213" s="242">
        <f t="shared" si="33"/>
        <v>552772.52</v>
      </c>
      <c r="M213" s="242">
        <f t="shared" si="34"/>
        <v>0</v>
      </c>
      <c r="N213" s="242"/>
      <c r="O213" s="242">
        <f t="shared" si="32"/>
        <v>2708727.14</v>
      </c>
    </row>
    <row r="214" spans="1:15" s="231" customFormat="1" outlineLevel="1" x14ac:dyDescent="0.2">
      <c r="A214" s="284" t="s">
        <v>511</v>
      </c>
      <c r="B214" s="285"/>
      <c r="C214" s="285" t="s">
        <v>514</v>
      </c>
      <c r="D214" s="286"/>
      <c r="E214" s="286">
        <v>485.88</v>
      </c>
      <c r="F214" s="286">
        <v>3256.7</v>
      </c>
      <c r="G214" s="287"/>
      <c r="H214" s="288"/>
      <c r="I214" s="289"/>
      <c r="J214" s="230"/>
      <c r="K214" s="242">
        <f t="shared" si="33"/>
        <v>0</v>
      </c>
      <c r="L214" s="242">
        <f t="shared" si="33"/>
        <v>4052831</v>
      </c>
      <c r="M214" s="242">
        <f t="shared" si="34"/>
        <v>13319903</v>
      </c>
      <c r="N214" s="242"/>
      <c r="O214" s="242">
        <f t="shared" si="32"/>
        <v>17372734</v>
      </c>
    </row>
    <row r="215" spans="1:15" s="58" customFormat="1" ht="19.5" customHeight="1" x14ac:dyDescent="0.2">
      <c r="A215" s="295">
        <v>9</v>
      </c>
      <c r="B215" s="556" t="s">
        <v>43</v>
      </c>
      <c r="C215" s="556" t="s">
        <v>44</v>
      </c>
      <c r="D215" s="32">
        <f>SUM(D216:D224)</f>
        <v>0</v>
      </c>
      <c r="E215" s="32"/>
      <c r="F215" s="32"/>
      <c r="G215" s="47"/>
      <c r="H215" s="57">
        <f>D215+E215+F215+G215</f>
        <v>0</v>
      </c>
      <c r="I215" s="77"/>
      <c r="J215" s="12"/>
      <c r="K215" s="69">
        <f>SUM(K216:K224)</f>
        <v>0</v>
      </c>
      <c r="L215" s="69">
        <f>SUM(L216:L224)</f>
        <v>0</v>
      </c>
      <c r="M215" s="69">
        <f>SUM(M216:M224)</f>
        <v>0</v>
      </c>
      <c r="N215" s="69"/>
      <c r="O215" s="69">
        <f t="shared" si="32"/>
        <v>0</v>
      </c>
    </row>
    <row r="216" spans="1:15" s="4" customFormat="1" ht="15" outlineLevel="1" x14ac:dyDescent="0.2">
      <c r="A216" s="59" t="s">
        <v>516</v>
      </c>
      <c r="B216" s="557"/>
      <c r="C216" s="557" t="s">
        <v>515</v>
      </c>
      <c r="D216" s="568">
        <f>204.52*0</f>
        <v>0</v>
      </c>
      <c r="E216" s="24"/>
      <c r="F216" s="24"/>
      <c r="G216" s="25"/>
      <c r="H216" s="26"/>
      <c r="I216" s="76"/>
      <c r="J216" s="2"/>
      <c r="K216" s="61">
        <f t="shared" ref="K216:K224" si="35">((D216)*1.023*1.01-(D216)*0.023*0.15)*8.1*1000</f>
        <v>0</v>
      </c>
      <c r="L216" s="61">
        <f t="shared" ref="L216:L224" si="36">((E216)*1.023*1.01-(E216)*0.023*0.15)*8.1*1000</f>
        <v>0</v>
      </c>
      <c r="M216" s="61">
        <f t="shared" ref="M216:M224" si="37">F216*4.09*1000</f>
        <v>0</v>
      </c>
      <c r="N216" s="61"/>
      <c r="O216" s="61">
        <f t="shared" si="32"/>
        <v>0</v>
      </c>
    </row>
    <row r="217" spans="1:15" s="4" customFormat="1" ht="26.25" customHeight="1" outlineLevel="1" x14ac:dyDescent="0.2">
      <c r="A217" s="59" t="s">
        <v>518</v>
      </c>
      <c r="B217" s="557"/>
      <c r="C217" s="557" t="s">
        <v>517</v>
      </c>
      <c r="D217" s="568">
        <f>111.3*0</f>
        <v>0</v>
      </c>
      <c r="E217" s="24"/>
      <c r="F217" s="24"/>
      <c r="G217" s="25"/>
      <c r="H217" s="26"/>
      <c r="I217" s="76"/>
      <c r="J217" s="2"/>
      <c r="K217" s="61">
        <f t="shared" si="35"/>
        <v>0</v>
      </c>
      <c r="L217" s="61">
        <f t="shared" si="36"/>
        <v>0</v>
      </c>
      <c r="M217" s="61">
        <f t="shared" si="37"/>
        <v>0</v>
      </c>
      <c r="N217" s="61"/>
      <c r="O217" s="61">
        <f t="shared" si="32"/>
        <v>0</v>
      </c>
    </row>
    <row r="218" spans="1:15" s="4" customFormat="1" ht="15" outlineLevel="1" x14ac:dyDescent="0.2">
      <c r="A218" s="59" t="s">
        <v>519</v>
      </c>
      <c r="B218" s="557"/>
      <c r="C218" s="557" t="s">
        <v>522</v>
      </c>
      <c r="D218" s="568">
        <f>553.19*0</f>
        <v>0</v>
      </c>
      <c r="E218" s="24"/>
      <c r="F218" s="24"/>
      <c r="G218" s="25"/>
      <c r="H218" s="26"/>
      <c r="I218" s="76"/>
      <c r="J218" s="2"/>
      <c r="K218" s="61">
        <f t="shared" si="35"/>
        <v>0</v>
      </c>
      <c r="L218" s="61">
        <f t="shared" si="36"/>
        <v>0</v>
      </c>
      <c r="M218" s="61">
        <f t="shared" si="37"/>
        <v>0</v>
      </c>
      <c r="N218" s="61"/>
      <c r="O218" s="61">
        <f t="shared" si="32"/>
        <v>0</v>
      </c>
    </row>
    <row r="219" spans="1:15" s="4" customFormat="1" ht="15" outlineLevel="1" x14ac:dyDescent="0.2">
      <c r="A219" s="59" t="s">
        <v>520</v>
      </c>
      <c r="B219" s="557"/>
      <c r="C219" s="557" t="s">
        <v>523</v>
      </c>
      <c r="D219" s="568">
        <f>261.25*0</f>
        <v>0</v>
      </c>
      <c r="E219" s="24"/>
      <c r="F219" s="24"/>
      <c r="G219" s="25"/>
      <c r="H219" s="26"/>
      <c r="I219" s="76"/>
      <c r="J219" s="2"/>
      <c r="K219" s="61">
        <f t="shared" si="35"/>
        <v>0</v>
      </c>
      <c r="L219" s="61">
        <f t="shared" si="36"/>
        <v>0</v>
      </c>
      <c r="M219" s="61">
        <f t="shared" si="37"/>
        <v>0</v>
      </c>
      <c r="N219" s="61"/>
      <c r="O219" s="61">
        <f t="shared" si="32"/>
        <v>0</v>
      </c>
    </row>
    <row r="220" spans="1:15" s="4" customFormat="1" ht="26.25" customHeight="1" outlineLevel="1" x14ac:dyDescent="0.2">
      <c r="A220" s="59" t="s">
        <v>521</v>
      </c>
      <c r="B220" s="557"/>
      <c r="C220" s="557" t="s">
        <v>524</v>
      </c>
      <c r="D220" s="568">
        <f>57.37*0</f>
        <v>0</v>
      </c>
      <c r="E220" s="24"/>
      <c r="F220" s="24"/>
      <c r="G220" s="25"/>
      <c r="H220" s="26"/>
      <c r="I220" s="76"/>
      <c r="J220" s="2"/>
      <c r="K220" s="61">
        <f t="shared" si="35"/>
        <v>0</v>
      </c>
      <c r="L220" s="61">
        <f t="shared" si="36"/>
        <v>0</v>
      </c>
      <c r="M220" s="61">
        <f t="shared" si="37"/>
        <v>0</v>
      </c>
      <c r="N220" s="61"/>
      <c r="O220" s="61">
        <f t="shared" si="32"/>
        <v>0</v>
      </c>
    </row>
    <row r="221" spans="1:15" s="4" customFormat="1" ht="26.25" customHeight="1" outlineLevel="1" x14ac:dyDescent="0.2">
      <c r="A221" s="59" t="s">
        <v>525</v>
      </c>
      <c r="B221" s="557"/>
      <c r="C221" s="557" t="s">
        <v>527</v>
      </c>
      <c r="D221" s="568">
        <f>74.69*0</f>
        <v>0</v>
      </c>
      <c r="E221" s="24"/>
      <c r="F221" s="24"/>
      <c r="G221" s="25"/>
      <c r="H221" s="26"/>
      <c r="I221" s="76"/>
      <c r="J221" s="2"/>
      <c r="K221" s="61">
        <f t="shared" si="35"/>
        <v>0</v>
      </c>
      <c r="L221" s="61">
        <f t="shared" si="36"/>
        <v>0</v>
      </c>
      <c r="M221" s="61">
        <f t="shared" si="37"/>
        <v>0</v>
      </c>
      <c r="N221" s="61"/>
      <c r="O221" s="61">
        <f t="shared" si="32"/>
        <v>0</v>
      </c>
    </row>
    <row r="222" spans="1:15" s="4" customFormat="1" ht="26.25" customHeight="1" outlineLevel="1" x14ac:dyDescent="0.2">
      <c r="A222" s="59" t="s">
        <v>526</v>
      </c>
      <c r="B222" s="557"/>
      <c r="C222" s="557" t="s">
        <v>528</v>
      </c>
      <c r="D222" s="568">
        <f>36.61*0</f>
        <v>0</v>
      </c>
      <c r="E222" s="24"/>
      <c r="F222" s="24"/>
      <c r="G222" s="25"/>
      <c r="H222" s="26"/>
      <c r="I222" s="76"/>
      <c r="J222" s="2"/>
      <c r="K222" s="61">
        <f t="shared" si="35"/>
        <v>0</v>
      </c>
      <c r="L222" s="61">
        <f t="shared" si="36"/>
        <v>0</v>
      </c>
      <c r="M222" s="61">
        <f t="shared" si="37"/>
        <v>0</v>
      </c>
      <c r="N222" s="61"/>
      <c r="O222" s="61">
        <f t="shared" si="32"/>
        <v>0</v>
      </c>
    </row>
    <row r="223" spans="1:15" s="4" customFormat="1" ht="26.25" customHeight="1" outlineLevel="1" x14ac:dyDescent="0.2">
      <c r="A223" s="59" t="s">
        <v>530</v>
      </c>
      <c r="B223" s="557"/>
      <c r="C223" s="557" t="s">
        <v>529</v>
      </c>
      <c r="D223" s="568">
        <f>420.29*0</f>
        <v>0</v>
      </c>
      <c r="E223" s="24"/>
      <c r="F223" s="24"/>
      <c r="G223" s="25"/>
      <c r="H223" s="26"/>
      <c r="I223" s="76"/>
      <c r="J223" s="2"/>
      <c r="K223" s="61">
        <f t="shared" si="35"/>
        <v>0</v>
      </c>
      <c r="L223" s="61">
        <f t="shared" si="36"/>
        <v>0</v>
      </c>
      <c r="M223" s="61">
        <f t="shared" si="37"/>
        <v>0</v>
      </c>
      <c r="N223" s="61"/>
      <c r="O223" s="61">
        <f t="shared" si="32"/>
        <v>0</v>
      </c>
    </row>
    <row r="224" spans="1:15" s="4" customFormat="1" ht="26.25" customHeight="1" outlineLevel="1" x14ac:dyDescent="0.2">
      <c r="A224" s="59" t="s">
        <v>531</v>
      </c>
      <c r="B224" s="557"/>
      <c r="C224" s="557" t="s">
        <v>532</v>
      </c>
      <c r="D224" s="568">
        <f>31.29*0</f>
        <v>0</v>
      </c>
      <c r="E224" s="24"/>
      <c r="F224" s="24"/>
      <c r="G224" s="25"/>
      <c r="H224" s="26"/>
      <c r="I224" s="76"/>
      <c r="J224" s="2"/>
      <c r="K224" s="61">
        <f t="shared" si="35"/>
        <v>0</v>
      </c>
      <c r="L224" s="61">
        <f t="shared" si="36"/>
        <v>0</v>
      </c>
      <c r="M224" s="61">
        <f t="shared" si="37"/>
        <v>0</v>
      </c>
      <c r="N224" s="61"/>
      <c r="O224" s="61">
        <f t="shared" si="32"/>
        <v>0</v>
      </c>
    </row>
    <row r="225" spans="1:15" s="58" customFormat="1" ht="19.5" customHeight="1" x14ac:dyDescent="0.2">
      <c r="A225" s="295">
        <v>10</v>
      </c>
      <c r="B225" s="556" t="s">
        <v>45</v>
      </c>
      <c r="C225" s="556" t="s">
        <v>46</v>
      </c>
      <c r="D225" s="32">
        <f>SUM(D226:D233)</f>
        <v>0</v>
      </c>
      <c r="E225" s="32"/>
      <c r="F225" s="32"/>
      <c r="G225" s="47"/>
      <c r="H225" s="57">
        <f>D225+E225+F225+G225</f>
        <v>0</v>
      </c>
      <c r="I225" s="77"/>
      <c r="J225" s="12"/>
      <c r="K225" s="69">
        <f>SUM(K226:K233)</f>
        <v>0</v>
      </c>
      <c r="L225" s="69">
        <f>SUM(L226:L233)</f>
        <v>0</v>
      </c>
      <c r="M225" s="69">
        <f>SUM(M226:M233)</f>
        <v>0</v>
      </c>
      <c r="N225" s="69"/>
      <c r="O225" s="69">
        <f t="shared" si="32"/>
        <v>0</v>
      </c>
    </row>
    <row r="226" spans="1:15" s="4" customFormat="1" ht="17.25" customHeight="1" outlineLevel="1" x14ac:dyDescent="0.2">
      <c r="A226" s="59" t="s">
        <v>533</v>
      </c>
      <c r="B226" s="557"/>
      <c r="C226" s="557" t="s">
        <v>515</v>
      </c>
      <c r="D226" s="568">
        <f>293.72*0</f>
        <v>0</v>
      </c>
      <c r="E226" s="24"/>
      <c r="F226" s="24"/>
      <c r="G226" s="25"/>
      <c r="H226" s="26"/>
      <c r="I226" s="76"/>
      <c r="J226" s="2"/>
      <c r="K226" s="61">
        <f t="shared" ref="K226:L233" si="38">((D226)*1.023*1.01-(D226)*0.023*0.15)*8.1*1000</f>
        <v>0</v>
      </c>
      <c r="L226" s="61">
        <f t="shared" si="38"/>
        <v>0</v>
      </c>
      <c r="M226" s="61">
        <f t="shared" ref="M226:M233" si="39">F226*4.09*1000</f>
        <v>0</v>
      </c>
      <c r="N226" s="61"/>
      <c r="O226" s="61">
        <f t="shared" si="32"/>
        <v>0</v>
      </c>
    </row>
    <row r="227" spans="1:15" s="4" customFormat="1" ht="26.25" customHeight="1" outlineLevel="1" x14ac:dyDescent="0.2">
      <c r="A227" s="59" t="s">
        <v>534</v>
      </c>
      <c r="B227" s="557"/>
      <c r="C227" s="557" t="s">
        <v>524</v>
      </c>
      <c r="D227" s="568">
        <f>62.67*0</f>
        <v>0</v>
      </c>
      <c r="E227" s="24"/>
      <c r="F227" s="24"/>
      <c r="G227" s="25"/>
      <c r="H227" s="26"/>
      <c r="I227" s="76"/>
      <c r="J227" s="2"/>
      <c r="K227" s="61">
        <f t="shared" si="38"/>
        <v>0</v>
      </c>
      <c r="L227" s="61">
        <f t="shared" si="38"/>
        <v>0</v>
      </c>
      <c r="M227" s="61">
        <f t="shared" si="39"/>
        <v>0</v>
      </c>
      <c r="N227" s="61"/>
      <c r="O227" s="61">
        <f t="shared" si="32"/>
        <v>0</v>
      </c>
    </row>
    <row r="228" spans="1:15" s="4" customFormat="1" ht="19.5" customHeight="1" outlineLevel="1" x14ac:dyDescent="0.2">
      <c r="A228" s="59" t="s">
        <v>535</v>
      </c>
      <c r="B228" s="557"/>
      <c r="C228" s="557" t="s">
        <v>523</v>
      </c>
      <c r="D228" s="568">
        <f>(261.25-0.01)*0</f>
        <v>0</v>
      </c>
      <c r="E228" s="24"/>
      <c r="F228" s="24"/>
      <c r="G228" s="25"/>
      <c r="H228" s="26"/>
      <c r="I228" s="76"/>
      <c r="J228" s="2"/>
      <c r="K228" s="61">
        <f t="shared" si="38"/>
        <v>0</v>
      </c>
      <c r="L228" s="61">
        <f t="shared" si="38"/>
        <v>0</v>
      </c>
      <c r="M228" s="61">
        <f t="shared" si="39"/>
        <v>0</v>
      </c>
      <c r="N228" s="61"/>
      <c r="O228" s="61">
        <f t="shared" si="32"/>
        <v>0</v>
      </c>
    </row>
    <row r="229" spans="1:15" s="4" customFormat="1" ht="26.25" customHeight="1" outlineLevel="1" x14ac:dyDescent="0.2">
      <c r="A229" s="59" t="s">
        <v>536</v>
      </c>
      <c r="B229" s="557"/>
      <c r="C229" s="557" t="s">
        <v>524</v>
      </c>
      <c r="D229" s="568">
        <f>62.57*0</f>
        <v>0</v>
      </c>
      <c r="E229" s="24"/>
      <c r="F229" s="24"/>
      <c r="G229" s="25"/>
      <c r="H229" s="26"/>
      <c r="I229" s="76"/>
      <c r="J229" s="2"/>
      <c r="K229" s="61">
        <f t="shared" si="38"/>
        <v>0</v>
      </c>
      <c r="L229" s="61">
        <f t="shared" si="38"/>
        <v>0</v>
      </c>
      <c r="M229" s="61">
        <f t="shared" si="39"/>
        <v>0</v>
      </c>
      <c r="N229" s="61"/>
      <c r="O229" s="61">
        <f t="shared" si="32"/>
        <v>0</v>
      </c>
    </row>
    <row r="230" spans="1:15" s="4" customFormat="1" ht="26.25" customHeight="1" outlineLevel="1" x14ac:dyDescent="0.2">
      <c r="A230" s="59" t="s">
        <v>537</v>
      </c>
      <c r="B230" s="557"/>
      <c r="C230" s="557" t="s">
        <v>527</v>
      </c>
      <c r="D230" s="568">
        <f>86.52*0</f>
        <v>0</v>
      </c>
      <c r="E230" s="24"/>
      <c r="F230" s="24"/>
      <c r="G230" s="25"/>
      <c r="H230" s="26"/>
      <c r="I230" s="76"/>
      <c r="J230" s="2"/>
      <c r="K230" s="61">
        <f t="shared" si="38"/>
        <v>0</v>
      </c>
      <c r="L230" s="61">
        <f t="shared" si="38"/>
        <v>0</v>
      </c>
      <c r="M230" s="61">
        <f t="shared" si="39"/>
        <v>0</v>
      </c>
      <c r="N230" s="61"/>
      <c r="O230" s="61">
        <f t="shared" si="32"/>
        <v>0</v>
      </c>
    </row>
    <row r="231" spans="1:15" s="4" customFormat="1" ht="26.25" customHeight="1" outlineLevel="1" x14ac:dyDescent="0.2">
      <c r="A231" s="59" t="s">
        <v>538</v>
      </c>
      <c r="B231" s="557"/>
      <c r="C231" s="557" t="s">
        <v>528</v>
      </c>
      <c r="D231" s="568">
        <f>(35.56-0.01)*0</f>
        <v>0</v>
      </c>
      <c r="E231" s="24"/>
      <c r="F231" s="24"/>
      <c r="G231" s="25"/>
      <c r="H231" s="26"/>
      <c r="I231" s="76"/>
      <c r="J231" s="2"/>
      <c r="K231" s="61">
        <f t="shared" si="38"/>
        <v>0</v>
      </c>
      <c r="L231" s="61">
        <f t="shared" si="38"/>
        <v>0</v>
      </c>
      <c r="M231" s="61">
        <f t="shared" si="39"/>
        <v>0</v>
      </c>
      <c r="N231" s="61"/>
      <c r="O231" s="61">
        <f t="shared" si="32"/>
        <v>0</v>
      </c>
    </row>
    <row r="232" spans="1:15" s="4" customFormat="1" ht="26.25" customHeight="1" outlineLevel="1" x14ac:dyDescent="0.2">
      <c r="A232" s="59" t="s">
        <v>539</v>
      </c>
      <c r="B232" s="557"/>
      <c r="C232" s="557" t="s">
        <v>541</v>
      </c>
      <c r="D232" s="568">
        <f>329.88*0</f>
        <v>0</v>
      </c>
      <c r="E232" s="24"/>
      <c r="F232" s="24"/>
      <c r="G232" s="25"/>
      <c r="H232" s="26"/>
      <c r="I232" s="76"/>
      <c r="J232" s="2"/>
      <c r="K232" s="61">
        <f t="shared" si="38"/>
        <v>0</v>
      </c>
      <c r="L232" s="61">
        <f t="shared" si="38"/>
        <v>0</v>
      </c>
      <c r="M232" s="61">
        <f t="shared" si="39"/>
        <v>0</v>
      </c>
      <c r="N232" s="61"/>
      <c r="O232" s="61">
        <f t="shared" si="32"/>
        <v>0</v>
      </c>
    </row>
    <row r="233" spans="1:15" s="4" customFormat="1" ht="26.25" customHeight="1" outlineLevel="1" x14ac:dyDescent="0.2">
      <c r="A233" s="59" t="s">
        <v>540</v>
      </c>
      <c r="B233" s="557"/>
      <c r="C233" s="557" t="s">
        <v>532</v>
      </c>
      <c r="D233" s="568">
        <f>22.72*0</f>
        <v>0</v>
      </c>
      <c r="E233" s="24"/>
      <c r="F233" s="24"/>
      <c r="G233" s="25"/>
      <c r="H233" s="26"/>
      <c r="I233" s="76"/>
      <c r="J233" s="2"/>
      <c r="K233" s="61">
        <f t="shared" si="38"/>
        <v>0</v>
      </c>
      <c r="L233" s="61">
        <f t="shared" si="38"/>
        <v>0</v>
      </c>
      <c r="M233" s="61">
        <f t="shared" si="39"/>
        <v>0</v>
      </c>
      <c r="N233" s="61"/>
      <c r="O233" s="61">
        <f t="shared" ref="O233:O234" si="40">SUM(K233:N233)</f>
        <v>0</v>
      </c>
    </row>
    <row r="234" spans="1:15" s="4" customFormat="1" ht="30.75" customHeight="1" x14ac:dyDescent="0.2">
      <c r="A234" s="28"/>
      <c r="B234" s="673" t="s">
        <v>47</v>
      </c>
      <c r="C234" s="673"/>
      <c r="D234" s="24">
        <f>D41+D92+D141+D207+D215+D225</f>
        <v>77406.850000000006</v>
      </c>
      <c r="E234" s="24">
        <f>E41+E92+E141+E207+E215+E225</f>
        <v>5285.59</v>
      </c>
      <c r="F234" s="24">
        <f>F41+F92+F141+F207+F215+F225</f>
        <v>7023.69</v>
      </c>
      <c r="G234" s="24"/>
      <c r="H234" s="57">
        <f>SUM(D234:G234)</f>
        <v>89716.13</v>
      </c>
      <c r="I234" s="77"/>
      <c r="J234" s="2"/>
      <c r="K234" s="69">
        <f>K41+K92+K141+K207+K215+K225</f>
        <v>645667410.52999997</v>
      </c>
      <c r="L234" s="69">
        <f>L41+L92+L141+L207+L215+L225</f>
        <v>44088283.5</v>
      </c>
      <c r="M234" s="69">
        <f>M41+M92+M141+M207+M215+M225</f>
        <v>28726892.100000001</v>
      </c>
      <c r="N234" s="69">
        <f>N41+N92+N141+N207+N215+N225</f>
        <v>0</v>
      </c>
      <c r="O234" s="69">
        <f t="shared" si="40"/>
        <v>718482586.13</v>
      </c>
    </row>
    <row r="235" spans="1:15" s="4" customFormat="1" ht="12.75" customHeight="1" x14ac:dyDescent="0.2">
      <c r="A235" s="686" t="s">
        <v>48</v>
      </c>
      <c r="B235" s="687"/>
      <c r="C235" s="687"/>
      <c r="D235" s="687"/>
      <c r="E235" s="687"/>
      <c r="F235" s="687"/>
      <c r="G235" s="687"/>
      <c r="H235" s="688"/>
      <c r="I235" s="75"/>
      <c r="J235" s="2"/>
      <c r="K235" s="61"/>
      <c r="L235" s="61"/>
      <c r="M235" s="61">
        <f>F235*4.09*1000</f>
        <v>0</v>
      </c>
      <c r="N235" s="61"/>
      <c r="O235" s="61"/>
    </row>
    <row r="236" spans="1:15" s="58" customFormat="1" ht="30" customHeight="1" collapsed="1" x14ac:dyDescent="0.2">
      <c r="A236" s="295">
        <v>11</v>
      </c>
      <c r="B236" s="556" t="s">
        <v>49</v>
      </c>
      <c r="C236" s="556" t="s">
        <v>50</v>
      </c>
      <c r="D236" s="32">
        <f>SUM(D237:D239)</f>
        <v>1166.3800000000001</v>
      </c>
      <c r="E236" s="32">
        <f>SUM(E237:E239)</f>
        <v>79.45</v>
      </c>
      <c r="F236" s="32">
        <f>SUM(F237:F239)</f>
        <v>2558.35</v>
      </c>
      <c r="G236" s="47"/>
      <c r="H236" s="57">
        <f>D236+E236+F236+G236</f>
        <v>3804.18</v>
      </c>
      <c r="I236" s="77"/>
      <c r="J236" s="12"/>
      <c r="K236" s="69">
        <f>SUM(K237:K239)</f>
        <v>6754760.8499999996</v>
      </c>
      <c r="L236" s="69">
        <f>SUM(L237:L239)</f>
        <v>460112.27</v>
      </c>
      <c r="M236" s="69">
        <f>SUM(M237:M239)</f>
        <v>10463651.5</v>
      </c>
      <c r="N236" s="69"/>
      <c r="O236" s="69">
        <f>SUM(K236:N236)</f>
        <v>17678524.620000001</v>
      </c>
    </row>
    <row r="237" spans="1:15" s="304" customFormat="1" ht="17.25" customHeight="1" outlineLevel="1" x14ac:dyDescent="0.2">
      <c r="A237" s="296" t="s">
        <v>542</v>
      </c>
      <c r="B237" s="297"/>
      <c r="C237" s="297" t="s">
        <v>374</v>
      </c>
      <c r="D237" s="298">
        <v>103.43</v>
      </c>
      <c r="E237" s="298">
        <v>32.299999999999997</v>
      </c>
      <c r="F237" s="298"/>
      <c r="G237" s="299"/>
      <c r="H237" s="300"/>
      <c r="I237" s="301"/>
      <c r="J237" s="302"/>
      <c r="K237" s="303">
        <f t="shared" ref="K237:L239" si="41">((D237*5.55)+(D237*2.3%+(D237+D237*2.3%)*1%-D237*2.3%*15%)*8.1)*1000</f>
        <v>598985.68000000005</v>
      </c>
      <c r="L237" s="303">
        <f t="shared" si="41"/>
        <v>187056.34</v>
      </c>
      <c r="M237" s="303">
        <f>F237*4.09*1000</f>
        <v>0</v>
      </c>
      <c r="N237" s="303"/>
      <c r="O237" s="303">
        <f>SUM(K237:N237)</f>
        <v>786042.02</v>
      </c>
    </row>
    <row r="238" spans="1:15" s="304" customFormat="1" ht="17.25" customHeight="1" outlineLevel="1" x14ac:dyDescent="0.2">
      <c r="A238" s="296" t="s">
        <v>543</v>
      </c>
      <c r="B238" s="297"/>
      <c r="C238" s="297" t="s">
        <v>545</v>
      </c>
      <c r="D238" s="298">
        <v>1062.95</v>
      </c>
      <c r="E238" s="298">
        <v>41.65</v>
      </c>
      <c r="F238" s="298"/>
      <c r="G238" s="299"/>
      <c r="H238" s="300"/>
      <c r="I238" s="301"/>
      <c r="J238" s="302"/>
      <c r="K238" s="303">
        <f t="shared" si="41"/>
        <v>6155775.1699999999</v>
      </c>
      <c r="L238" s="303">
        <f t="shared" si="41"/>
        <v>241204.23</v>
      </c>
      <c r="M238" s="303">
        <f>F238*4.09*1000</f>
        <v>0</v>
      </c>
      <c r="N238" s="303"/>
      <c r="O238" s="303">
        <f>SUM(K238:N238)</f>
        <v>6396979.4000000004</v>
      </c>
    </row>
    <row r="239" spans="1:15" s="304" customFormat="1" ht="17.25" customHeight="1" outlineLevel="1" x14ac:dyDescent="0.2">
      <c r="A239" s="296" t="s">
        <v>544</v>
      </c>
      <c r="B239" s="297"/>
      <c r="C239" s="297" t="s">
        <v>546</v>
      </c>
      <c r="D239" s="298"/>
      <c r="E239" s="298">
        <f>2563852/1000-F239</f>
        <v>5.5</v>
      </c>
      <c r="F239" s="298">
        <f>2558352/1000</f>
        <v>2558.35</v>
      </c>
      <c r="G239" s="299"/>
      <c r="H239" s="300"/>
      <c r="I239" s="301"/>
      <c r="J239" s="302"/>
      <c r="K239" s="303">
        <f t="shared" si="41"/>
        <v>0</v>
      </c>
      <c r="L239" s="303">
        <f t="shared" si="41"/>
        <v>31851.7</v>
      </c>
      <c r="M239" s="303">
        <f>F239*4.09*1000</f>
        <v>10463651.5</v>
      </c>
      <c r="N239" s="303"/>
      <c r="O239" s="303">
        <f>SUM(K239:N239)</f>
        <v>10495503.199999999</v>
      </c>
    </row>
    <row r="240" spans="1:15" s="58" customFormat="1" ht="31.5" customHeight="1" x14ac:dyDescent="0.2">
      <c r="A240" s="63"/>
      <c r="B240" s="673" t="s">
        <v>51</v>
      </c>
      <c r="C240" s="673"/>
      <c r="D240" s="32">
        <f>D236</f>
        <v>1166.3800000000001</v>
      </c>
      <c r="E240" s="32">
        <f>E236</f>
        <v>79.45</v>
      </c>
      <c r="F240" s="32">
        <f>F236</f>
        <v>2558.35</v>
      </c>
      <c r="G240" s="32"/>
      <c r="H240" s="57">
        <f>H236</f>
        <v>3804.18</v>
      </c>
      <c r="I240" s="77"/>
      <c r="J240" s="12"/>
      <c r="K240" s="69">
        <f>K236</f>
        <v>6754760.8499999996</v>
      </c>
      <c r="L240" s="69">
        <f>L236</f>
        <v>460112.27</v>
      </c>
      <c r="M240" s="69">
        <f>M236</f>
        <v>10463651.5</v>
      </c>
      <c r="N240" s="69">
        <f>N236</f>
        <v>0</v>
      </c>
      <c r="O240" s="69">
        <f>O236</f>
        <v>17678524.620000001</v>
      </c>
    </row>
    <row r="241" spans="1:15" s="4" customFormat="1" ht="12.75" customHeight="1" x14ac:dyDescent="0.2">
      <c r="A241" s="686" t="s">
        <v>52</v>
      </c>
      <c r="B241" s="687"/>
      <c r="C241" s="687"/>
      <c r="D241" s="687"/>
      <c r="E241" s="687"/>
      <c r="F241" s="687"/>
      <c r="G241" s="687"/>
      <c r="H241" s="688"/>
      <c r="I241" s="75"/>
      <c r="J241" s="2"/>
      <c r="K241" s="61"/>
      <c r="L241" s="61"/>
      <c r="M241" s="61"/>
      <c r="N241" s="61"/>
      <c r="O241" s="61"/>
    </row>
    <row r="242" spans="1:15" s="58" customFormat="1" x14ac:dyDescent="0.2">
      <c r="A242" s="56">
        <v>12</v>
      </c>
      <c r="B242" s="556" t="s">
        <v>53</v>
      </c>
      <c r="C242" s="556" t="s">
        <v>54</v>
      </c>
      <c r="D242" s="32">
        <f>D243+D252</f>
        <v>1542.92</v>
      </c>
      <c r="E242" s="32">
        <f>E243+E252</f>
        <v>77.03</v>
      </c>
      <c r="F242" s="32">
        <f>F243+F252</f>
        <v>4690.95</v>
      </c>
      <c r="G242" s="32">
        <f>G243+G252</f>
        <v>0</v>
      </c>
      <c r="H242" s="32">
        <f t="shared" ref="H242:H252" si="42">SUM(D242:G242)</f>
        <v>6310.9</v>
      </c>
      <c r="I242" s="77"/>
      <c r="J242" s="12"/>
      <c r="K242" s="69">
        <f>K243+K252</f>
        <v>12869832.08</v>
      </c>
      <c r="L242" s="69">
        <f>L243+L252</f>
        <v>642524.02</v>
      </c>
      <c r="M242" s="69">
        <f>M243+M252</f>
        <v>19185985.5</v>
      </c>
      <c r="N242" s="69">
        <f>SUM(N243:N252)</f>
        <v>0</v>
      </c>
      <c r="O242" s="69">
        <f t="shared" ref="O242:O252" si="43">SUM(K242:N242)</f>
        <v>32698341.600000001</v>
      </c>
    </row>
    <row r="243" spans="1:15" s="4" customFormat="1" ht="12" customHeight="1" x14ac:dyDescent="0.2">
      <c r="A243" s="59" t="s">
        <v>341</v>
      </c>
      <c r="B243" s="557" t="s">
        <v>335</v>
      </c>
      <c r="C243" s="557" t="s">
        <v>54</v>
      </c>
      <c r="D243" s="24">
        <f>SUM(D244:D251)</f>
        <v>707.84</v>
      </c>
      <c r="E243" s="24">
        <f>SUM(E244:E251)</f>
        <v>77.03</v>
      </c>
      <c r="F243" s="24">
        <f>SUM(F244:F251)</f>
        <v>4690.95</v>
      </c>
      <c r="G243" s="25"/>
      <c r="H243" s="26">
        <f t="shared" si="42"/>
        <v>5475.82</v>
      </c>
      <c r="I243" s="76"/>
      <c r="J243" s="2"/>
      <c r="K243" s="24">
        <f>SUM(K244:K251)</f>
        <v>5904247.75</v>
      </c>
      <c r="L243" s="24">
        <f>SUM(L244:L251)</f>
        <v>642524.02</v>
      </c>
      <c r="M243" s="61">
        <f>SUM(M244:M251)</f>
        <v>19185985.5</v>
      </c>
      <c r="N243" s="61"/>
      <c r="O243" s="61">
        <f t="shared" si="43"/>
        <v>25732757.27</v>
      </c>
    </row>
    <row r="244" spans="1:15" s="304" customFormat="1" ht="17.25" customHeight="1" outlineLevel="1" x14ac:dyDescent="0.2">
      <c r="A244" s="296" t="s">
        <v>870</v>
      </c>
      <c r="B244" s="297"/>
      <c r="C244" s="297" t="s">
        <v>374</v>
      </c>
      <c r="D244" s="298">
        <f>96.71</f>
        <v>96.71</v>
      </c>
      <c r="E244" s="298"/>
      <c r="F244" s="298"/>
      <c r="G244" s="299"/>
      <c r="H244" s="300">
        <f t="shared" si="42"/>
        <v>96.71</v>
      </c>
      <c r="I244" s="301"/>
      <c r="J244" s="302"/>
      <c r="K244" s="303">
        <f t="shared" ref="K244:L248" si="44">((D244)*1.023*1.01-(D244)*0.023*0.15)*8.1*1000</f>
        <v>806679.19</v>
      </c>
      <c r="L244" s="303">
        <f t="shared" si="44"/>
        <v>0</v>
      </c>
      <c r="M244" s="303">
        <f t="shared" ref="M244:M251" si="45">F244*4.09*1000</f>
        <v>0</v>
      </c>
      <c r="N244" s="303"/>
      <c r="O244" s="303">
        <f t="shared" si="43"/>
        <v>806679.19</v>
      </c>
    </row>
    <row r="245" spans="1:15" s="304" customFormat="1" ht="17.25" customHeight="1" outlineLevel="1" x14ac:dyDescent="0.2">
      <c r="A245" s="296" t="s">
        <v>871</v>
      </c>
      <c r="B245" s="297"/>
      <c r="C245" s="297" t="s">
        <v>547</v>
      </c>
      <c r="D245" s="298">
        <f>493.52</f>
        <v>493.52</v>
      </c>
      <c r="E245" s="298"/>
      <c r="F245" s="298"/>
      <c r="G245" s="299"/>
      <c r="H245" s="300">
        <f t="shared" si="42"/>
        <v>493.52</v>
      </c>
      <c r="I245" s="301"/>
      <c r="J245" s="302"/>
      <c r="K245" s="303">
        <f t="shared" si="44"/>
        <v>4116557.91</v>
      </c>
      <c r="L245" s="303">
        <f t="shared" si="44"/>
        <v>0</v>
      </c>
      <c r="M245" s="303">
        <f t="shared" si="45"/>
        <v>0</v>
      </c>
      <c r="N245" s="303"/>
      <c r="O245" s="303">
        <f t="shared" si="43"/>
        <v>4116557.91</v>
      </c>
    </row>
    <row r="246" spans="1:15" s="304" customFormat="1" ht="17.25" customHeight="1" outlineLevel="1" x14ac:dyDescent="0.2">
      <c r="A246" s="296" t="s">
        <v>872</v>
      </c>
      <c r="B246" s="297"/>
      <c r="C246" s="297" t="s">
        <v>548</v>
      </c>
      <c r="D246" s="298">
        <f>1.973</f>
        <v>1.97</v>
      </c>
      <c r="E246" s="298">
        <f>2.613</f>
        <v>2.61</v>
      </c>
      <c r="F246" s="298"/>
      <c r="G246" s="299"/>
      <c r="H246" s="300">
        <f t="shared" si="42"/>
        <v>4.58</v>
      </c>
      <c r="I246" s="301"/>
      <c r="J246" s="302"/>
      <c r="K246" s="303">
        <f t="shared" si="44"/>
        <v>16432.2</v>
      </c>
      <c r="L246" s="303">
        <f t="shared" si="44"/>
        <v>21770.58</v>
      </c>
      <c r="M246" s="303">
        <f t="shared" si="45"/>
        <v>0</v>
      </c>
      <c r="N246" s="303"/>
      <c r="O246" s="303">
        <f t="shared" si="43"/>
        <v>38202.78</v>
      </c>
    </row>
    <row r="247" spans="1:15" s="304" customFormat="1" ht="17.25" customHeight="1" outlineLevel="1" x14ac:dyDescent="0.2">
      <c r="A247" s="296" t="s">
        <v>873</v>
      </c>
      <c r="B247" s="297"/>
      <c r="C247" s="297" t="s">
        <v>545</v>
      </c>
      <c r="D247" s="298">
        <f>67.036+4.2</f>
        <v>71.239999999999995</v>
      </c>
      <c r="E247" s="298">
        <f>35.593+3.03</f>
        <v>38.619999999999997</v>
      </c>
      <c r="F247" s="298"/>
      <c r="G247" s="299"/>
      <c r="H247" s="300">
        <f t="shared" si="42"/>
        <v>109.86</v>
      </c>
      <c r="I247" s="301"/>
      <c r="J247" s="302"/>
      <c r="K247" s="303">
        <f t="shared" si="44"/>
        <v>594228.37</v>
      </c>
      <c r="L247" s="303">
        <f t="shared" si="44"/>
        <v>322137.84000000003</v>
      </c>
      <c r="M247" s="303">
        <f t="shared" si="45"/>
        <v>0</v>
      </c>
      <c r="N247" s="303"/>
      <c r="O247" s="303">
        <f t="shared" si="43"/>
        <v>916366.21</v>
      </c>
    </row>
    <row r="248" spans="1:15" s="304" customFormat="1" ht="17.25" customHeight="1" outlineLevel="1" x14ac:dyDescent="0.2">
      <c r="A248" s="296" t="s">
        <v>874</v>
      </c>
      <c r="B248" s="297"/>
      <c r="C248" s="297" t="s">
        <v>549</v>
      </c>
      <c r="D248" s="298"/>
      <c r="E248" s="298">
        <f>3.199</f>
        <v>3.2</v>
      </c>
      <c r="F248" s="298"/>
      <c r="G248" s="299"/>
      <c r="H248" s="300">
        <f t="shared" si="42"/>
        <v>3.2</v>
      </c>
      <c r="I248" s="301"/>
      <c r="J248" s="302"/>
      <c r="K248" s="303">
        <f t="shared" si="44"/>
        <v>0</v>
      </c>
      <c r="L248" s="303">
        <f t="shared" si="44"/>
        <v>26691.9</v>
      </c>
      <c r="M248" s="303">
        <f t="shared" si="45"/>
        <v>0</v>
      </c>
      <c r="N248" s="303"/>
      <c r="O248" s="303">
        <f t="shared" si="43"/>
        <v>26691.9</v>
      </c>
    </row>
    <row r="249" spans="1:15" s="304" customFormat="1" ht="17.25" customHeight="1" outlineLevel="1" x14ac:dyDescent="0.2">
      <c r="A249" s="296" t="s">
        <v>875</v>
      </c>
      <c r="B249" s="297"/>
      <c r="C249" s="297" t="s">
        <v>550</v>
      </c>
      <c r="D249" s="298"/>
      <c r="E249" s="298">
        <f>21.722+0.078</f>
        <v>21.8</v>
      </c>
      <c r="F249" s="298">
        <f>4432.619+0.01</f>
        <v>4432.63</v>
      </c>
      <c r="G249" s="299"/>
      <c r="H249" s="300">
        <f t="shared" si="42"/>
        <v>4454.43</v>
      </c>
      <c r="I249" s="301"/>
      <c r="J249" s="302"/>
      <c r="K249" s="303">
        <f>((D249)*1.023*1.01-(D249)*0.023*0.15)*8.1*1000</f>
        <v>0</v>
      </c>
      <c r="L249" s="303">
        <f>((E249)*1.023*1.01-(E249)*0.023*0.15)*8.1*1000-0.01</f>
        <v>181838.54</v>
      </c>
      <c r="M249" s="303">
        <f t="shared" si="45"/>
        <v>18129456.699999999</v>
      </c>
      <c r="N249" s="303"/>
      <c r="O249" s="303">
        <f t="shared" si="43"/>
        <v>18311295.239999998</v>
      </c>
    </row>
    <row r="250" spans="1:15" s="304" customFormat="1" ht="17.25" customHeight="1" outlineLevel="1" x14ac:dyDescent="0.2">
      <c r="A250" s="296" t="s">
        <v>876</v>
      </c>
      <c r="B250" s="297"/>
      <c r="C250" s="297" t="s">
        <v>551</v>
      </c>
      <c r="D250" s="298">
        <f>22.203</f>
        <v>22.2</v>
      </c>
      <c r="E250" s="298">
        <f>5.369+0.031</f>
        <v>5.4</v>
      </c>
      <c r="F250" s="298">
        <f>129.163</f>
        <v>129.16</v>
      </c>
      <c r="G250" s="299"/>
      <c r="H250" s="300">
        <f t="shared" si="42"/>
        <v>156.76</v>
      </c>
      <c r="I250" s="301"/>
      <c r="J250" s="302"/>
      <c r="K250" s="303">
        <f>((D250)*1.023*1.01-(D250)*0.023*0.15)*8.1*1000</f>
        <v>185175.04000000001</v>
      </c>
      <c r="L250" s="303">
        <f>((E250)*1.023*1.01-(E250)*0.023*0.15)*8.1*1000</f>
        <v>45042.58</v>
      </c>
      <c r="M250" s="303">
        <f t="shared" si="45"/>
        <v>528264.4</v>
      </c>
      <c r="N250" s="303"/>
      <c r="O250" s="303">
        <f t="shared" si="43"/>
        <v>758482.02</v>
      </c>
    </row>
    <row r="251" spans="1:15" s="304" customFormat="1" ht="17.25" customHeight="1" outlineLevel="1" x14ac:dyDescent="0.2">
      <c r="A251" s="296" t="s">
        <v>877</v>
      </c>
      <c r="B251" s="297"/>
      <c r="C251" s="297" t="s">
        <v>552</v>
      </c>
      <c r="D251" s="298">
        <f>22.203</f>
        <v>22.2</v>
      </c>
      <c r="E251" s="298">
        <f>5.369+0.031</f>
        <v>5.4</v>
      </c>
      <c r="F251" s="298">
        <f>129.163</f>
        <v>129.16</v>
      </c>
      <c r="G251" s="299"/>
      <c r="H251" s="300">
        <f t="shared" si="42"/>
        <v>156.76</v>
      </c>
      <c r="I251" s="301"/>
      <c r="J251" s="302"/>
      <c r="K251" s="303">
        <f>((D251)*1.023*1.01-(D251)*0.023*0.15)*8.1*1000</f>
        <v>185175.04000000001</v>
      </c>
      <c r="L251" s="303">
        <f>((E251)*1.023*1.01-(E251)*0.023*0.15)*8.1*1000</f>
        <v>45042.58</v>
      </c>
      <c r="M251" s="303">
        <f t="shared" si="45"/>
        <v>528264.4</v>
      </c>
      <c r="N251" s="303"/>
      <c r="O251" s="303">
        <f t="shared" si="43"/>
        <v>758482.02</v>
      </c>
    </row>
    <row r="252" spans="1:15" s="4" customFormat="1" ht="25.5" x14ac:dyDescent="0.2">
      <c r="A252" s="59" t="s">
        <v>342</v>
      </c>
      <c r="B252" s="557" t="s">
        <v>336</v>
      </c>
      <c r="C252" s="557" t="s">
        <v>337</v>
      </c>
      <c r="D252" s="24">
        <v>835.08</v>
      </c>
      <c r="E252" s="24"/>
      <c r="F252" s="24"/>
      <c r="G252" s="25"/>
      <c r="H252" s="26">
        <f t="shared" si="42"/>
        <v>835.08</v>
      </c>
      <c r="I252" s="76"/>
      <c r="J252" s="2"/>
      <c r="K252" s="61">
        <f>((D252)*1.023*1.01-(D252)*0.023*0.15)*8.1*1000</f>
        <v>6965584.3300000001</v>
      </c>
      <c r="L252" s="61"/>
      <c r="M252" s="61"/>
      <c r="N252" s="61"/>
      <c r="O252" s="61">
        <f t="shared" si="43"/>
        <v>6965584.3300000001</v>
      </c>
    </row>
    <row r="253" spans="1:15" s="58" customFormat="1" ht="27.95" customHeight="1" x14ac:dyDescent="0.2">
      <c r="A253" s="63"/>
      <c r="B253" s="673" t="s">
        <v>55</v>
      </c>
      <c r="C253" s="673"/>
      <c r="D253" s="32">
        <f>D242</f>
        <v>1542.92</v>
      </c>
      <c r="E253" s="32">
        <f>E242</f>
        <v>77.03</v>
      </c>
      <c r="F253" s="32">
        <f>F242</f>
        <v>4690.95</v>
      </c>
      <c r="G253" s="32"/>
      <c r="H253" s="57">
        <f>H242</f>
        <v>6310.9</v>
      </c>
      <c r="I253" s="77"/>
      <c r="J253" s="12"/>
      <c r="K253" s="69">
        <f>K242</f>
        <v>12869832.08</v>
      </c>
      <c r="L253" s="69">
        <f>L242</f>
        <v>642524.02</v>
      </c>
      <c r="M253" s="69">
        <f>M242</f>
        <v>19185985.5</v>
      </c>
      <c r="N253" s="69">
        <f>N242</f>
        <v>0</v>
      </c>
      <c r="O253" s="69">
        <f>O242</f>
        <v>32698341.600000001</v>
      </c>
    </row>
    <row r="254" spans="1:15" s="4" customFormat="1" ht="12.75" customHeight="1" x14ac:dyDescent="0.2">
      <c r="A254" s="686" t="s">
        <v>56</v>
      </c>
      <c r="B254" s="687"/>
      <c r="C254" s="687"/>
      <c r="D254" s="687"/>
      <c r="E254" s="687"/>
      <c r="F254" s="687"/>
      <c r="G254" s="687"/>
      <c r="H254" s="688"/>
      <c r="I254" s="75"/>
      <c r="J254" s="2"/>
      <c r="K254" s="61"/>
      <c r="L254" s="61"/>
      <c r="M254" s="61"/>
      <c r="N254" s="61"/>
      <c r="O254" s="61"/>
    </row>
    <row r="255" spans="1:15" s="557" customFormat="1" ht="29.25" customHeight="1" x14ac:dyDescent="0.2">
      <c r="A255" s="305">
        <v>13</v>
      </c>
      <c r="B255" s="557" t="s">
        <v>57</v>
      </c>
      <c r="C255" s="557" t="s">
        <v>58</v>
      </c>
      <c r="D255" s="306">
        <f>SUM(D256:D260)</f>
        <v>0</v>
      </c>
      <c r="E255" s="306">
        <f>SUM(E256:E260)</f>
        <v>0</v>
      </c>
      <c r="F255" s="306">
        <f>SUM(F256:F260)</f>
        <v>0</v>
      </c>
      <c r="G255" s="40"/>
      <c r="H255" s="40">
        <f>D255+E255+F255+G255</f>
        <v>0</v>
      </c>
      <c r="I255" s="40"/>
      <c r="J255" s="558"/>
      <c r="K255" s="307">
        <f>SUM(K256:K260)</f>
        <v>0</v>
      </c>
      <c r="L255" s="307">
        <f>SUM(L256:L260)</f>
        <v>0</v>
      </c>
      <c r="M255" s="307">
        <f>SUM(M256:M260)</f>
        <v>0</v>
      </c>
      <c r="N255" s="307"/>
      <c r="O255" s="307">
        <f t="shared" ref="O255:O267" si="46">SUM(K255:N255)</f>
        <v>0</v>
      </c>
    </row>
    <row r="256" spans="1:15" s="304" customFormat="1" ht="17.25" customHeight="1" outlineLevel="1" x14ac:dyDescent="0.2">
      <c r="A256" s="296" t="s">
        <v>553</v>
      </c>
      <c r="B256" s="297"/>
      <c r="C256" s="297" t="s">
        <v>374</v>
      </c>
      <c r="D256" s="568">
        <f>119.79*0</f>
        <v>0</v>
      </c>
      <c r="E256" s="298"/>
      <c r="F256" s="298"/>
      <c r="G256" s="299"/>
      <c r="H256" s="300"/>
      <c r="I256" s="301"/>
      <c r="J256" s="302"/>
      <c r="K256" s="308">
        <f t="shared" ref="K256:L260" si="47">((D256*8.98)+(D256*2.3%+(D256+D256*2.3%)*1%-D256*2.3%*15%)*8.1)*1000</f>
        <v>0</v>
      </c>
      <c r="L256" s="308">
        <f t="shared" si="47"/>
        <v>0</v>
      </c>
      <c r="M256" s="309">
        <f>F256*4.09*1000</f>
        <v>0</v>
      </c>
      <c r="N256" s="308"/>
      <c r="O256" s="308">
        <f t="shared" si="46"/>
        <v>0</v>
      </c>
    </row>
    <row r="257" spans="1:15" s="304" customFormat="1" ht="17.25" customHeight="1" outlineLevel="1" x14ac:dyDescent="0.2">
      <c r="A257" s="296" t="s">
        <v>554</v>
      </c>
      <c r="B257" s="297"/>
      <c r="C257" s="297" t="s">
        <v>556</v>
      </c>
      <c r="D257" s="568">
        <f>525.82*0</f>
        <v>0</v>
      </c>
      <c r="E257" s="298"/>
      <c r="F257" s="298"/>
      <c r="G257" s="299"/>
      <c r="H257" s="300"/>
      <c r="I257" s="301"/>
      <c r="J257" s="302"/>
      <c r="K257" s="308">
        <f t="shared" si="47"/>
        <v>0</v>
      </c>
      <c r="L257" s="308">
        <f t="shared" si="47"/>
        <v>0</v>
      </c>
      <c r="M257" s="309">
        <f>F257*4.09*1000</f>
        <v>0</v>
      </c>
      <c r="N257" s="308"/>
      <c r="O257" s="308">
        <f t="shared" si="46"/>
        <v>0</v>
      </c>
    </row>
    <row r="258" spans="1:15" s="304" customFormat="1" ht="17.25" customHeight="1" outlineLevel="1" x14ac:dyDescent="0.2">
      <c r="A258" s="296" t="s">
        <v>555</v>
      </c>
      <c r="B258" s="297"/>
      <c r="C258" s="297" t="s">
        <v>557</v>
      </c>
      <c r="D258" s="568">
        <f>(741.42+0.01)*0</f>
        <v>0</v>
      </c>
      <c r="E258" s="298"/>
      <c r="F258" s="298"/>
      <c r="G258" s="299"/>
      <c r="H258" s="300"/>
      <c r="I258" s="301"/>
      <c r="J258" s="302"/>
      <c r="K258" s="308">
        <f t="shared" si="47"/>
        <v>0</v>
      </c>
      <c r="L258" s="308">
        <f t="shared" si="47"/>
        <v>0</v>
      </c>
      <c r="M258" s="309">
        <f>F258*4.09*1000</f>
        <v>0</v>
      </c>
      <c r="N258" s="308"/>
      <c r="O258" s="308">
        <f t="shared" si="46"/>
        <v>0</v>
      </c>
    </row>
    <row r="259" spans="1:15" s="304" customFormat="1" ht="17.25" customHeight="1" outlineLevel="1" x14ac:dyDescent="0.2">
      <c r="A259" s="296" t="s">
        <v>559</v>
      </c>
      <c r="B259" s="297"/>
      <c r="C259" s="297" t="s">
        <v>558</v>
      </c>
      <c r="D259" s="298"/>
      <c r="E259" s="568">
        <f>9.41*0</f>
        <v>0</v>
      </c>
      <c r="F259" s="298"/>
      <c r="G259" s="299"/>
      <c r="H259" s="300"/>
      <c r="I259" s="301"/>
      <c r="J259" s="302"/>
      <c r="K259" s="308">
        <f t="shared" si="47"/>
        <v>0</v>
      </c>
      <c r="L259" s="308">
        <f t="shared" si="47"/>
        <v>0</v>
      </c>
      <c r="M259" s="309">
        <f>F259*4.09*1000</f>
        <v>0</v>
      </c>
      <c r="N259" s="308"/>
      <c r="O259" s="308">
        <f t="shared" si="46"/>
        <v>0</v>
      </c>
    </row>
    <row r="260" spans="1:15" s="304" customFormat="1" ht="33.75" customHeight="1" outlineLevel="1" x14ac:dyDescent="0.2">
      <c r="A260" s="296" t="s">
        <v>560</v>
      </c>
      <c r="B260" s="297"/>
      <c r="C260" s="297" t="s">
        <v>532</v>
      </c>
      <c r="D260" s="568">
        <f>0.29*0</f>
        <v>0</v>
      </c>
      <c r="E260" s="298"/>
      <c r="F260" s="298"/>
      <c r="G260" s="299"/>
      <c r="H260" s="300"/>
      <c r="I260" s="301"/>
      <c r="J260" s="302"/>
      <c r="K260" s="308">
        <f t="shared" si="47"/>
        <v>0</v>
      </c>
      <c r="L260" s="308">
        <f t="shared" si="47"/>
        <v>0</v>
      </c>
      <c r="M260" s="309">
        <f>F260*4.09*1000</f>
        <v>0</v>
      </c>
      <c r="N260" s="308"/>
      <c r="O260" s="308">
        <f t="shared" si="46"/>
        <v>0</v>
      </c>
    </row>
    <row r="261" spans="1:15" s="557" customFormat="1" ht="29.25" customHeight="1" x14ac:dyDescent="0.2">
      <c r="A261" s="310">
        <v>14</v>
      </c>
      <c r="B261" s="557" t="s">
        <v>59</v>
      </c>
      <c r="C261" s="557" t="s">
        <v>60</v>
      </c>
      <c r="D261" s="306">
        <f>SUM(D262:D267)</f>
        <v>0</v>
      </c>
      <c r="E261" s="306">
        <f>SUM(E262:E267)</f>
        <v>0</v>
      </c>
      <c r="F261" s="306">
        <f>SUM(F262:F267)</f>
        <v>0</v>
      </c>
      <c r="G261" s="40"/>
      <c r="H261" s="40">
        <f>D261+E261+F261+G261</f>
        <v>0</v>
      </c>
      <c r="I261" s="40"/>
      <c r="J261" s="558"/>
      <c r="K261" s="307">
        <f>SUM(K262:K267)</f>
        <v>0</v>
      </c>
      <c r="L261" s="307">
        <f>SUM(L262:L267)</f>
        <v>0</v>
      </c>
      <c r="M261" s="307">
        <f>SUM(M262:M267)</f>
        <v>0</v>
      </c>
      <c r="N261" s="307"/>
      <c r="O261" s="307">
        <f t="shared" si="46"/>
        <v>0</v>
      </c>
    </row>
    <row r="262" spans="1:15" s="304" customFormat="1" ht="17.25" customHeight="1" outlineLevel="1" x14ac:dyDescent="0.2">
      <c r="A262" s="296" t="s">
        <v>562</v>
      </c>
      <c r="B262" s="297"/>
      <c r="C262" s="297" t="s">
        <v>374</v>
      </c>
      <c r="D262" s="568">
        <f>167.07*0</f>
        <v>0</v>
      </c>
      <c r="E262" s="298"/>
      <c r="F262" s="298"/>
      <c r="G262" s="299"/>
      <c r="H262" s="300"/>
      <c r="I262" s="301"/>
      <c r="J262" s="302"/>
      <c r="K262" s="308">
        <f t="shared" ref="K262:L267" si="48">((D262*5.99)+(D262*2.3%+(D262+D262*2.3%)*1%-D262*2.3%*15%)*8.1)*1000</f>
        <v>0</v>
      </c>
      <c r="L262" s="308">
        <f t="shared" si="48"/>
        <v>0</v>
      </c>
      <c r="M262" s="308">
        <f t="shared" ref="M262:M267" si="49">F262*4.09*1000</f>
        <v>0</v>
      </c>
      <c r="N262" s="303"/>
      <c r="O262" s="308">
        <f t="shared" si="46"/>
        <v>0</v>
      </c>
    </row>
    <row r="263" spans="1:15" s="304" customFormat="1" ht="17.25" customHeight="1" outlineLevel="1" x14ac:dyDescent="0.2">
      <c r="A263" s="296" t="s">
        <v>563</v>
      </c>
      <c r="B263" s="297"/>
      <c r="C263" s="297" t="s">
        <v>556</v>
      </c>
      <c r="D263" s="568">
        <f>265.29*0</f>
        <v>0</v>
      </c>
      <c r="E263" s="298"/>
      <c r="F263" s="298"/>
      <c r="G263" s="299"/>
      <c r="H263" s="300"/>
      <c r="I263" s="301"/>
      <c r="J263" s="302"/>
      <c r="K263" s="308">
        <f t="shared" si="48"/>
        <v>0</v>
      </c>
      <c r="L263" s="308">
        <f t="shared" si="48"/>
        <v>0</v>
      </c>
      <c r="M263" s="308">
        <f t="shared" si="49"/>
        <v>0</v>
      </c>
      <c r="N263" s="303"/>
      <c r="O263" s="308">
        <f t="shared" si="46"/>
        <v>0</v>
      </c>
    </row>
    <row r="264" spans="1:15" s="304" customFormat="1" ht="17.25" customHeight="1" outlineLevel="1" x14ac:dyDescent="0.2">
      <c r="A264" s="296" t="s">
        <v>564</v>
      </c>
      <c r="B264" s="297"/>
      <c r="C264" s="297" t="s">
        <v>566</v>
      </c>
      <c r="D264" s="568">
        <f>(1112.48-0.02)*0</f>
        <v>0</v>
      </c>
      <c r="E264" s="298"/>
      <c r="F264" s="298"/>
      <c r="G264" s="299"/>
      <c r="H264" s="300"/>
      <c r="I264" s="301"/>
      <c r="J264" s="302"/>
      <c r="K264" s="308">
        <f t="shared" si="48"/>
        <v>0</v>
      </c>
      <c r="L264" s="308">
        <f t="shared" si="48"/>
        <v>0</v>
      </c>
      <c r="M264" s="308">
        <f t="shared" si="49"/>
        <v>0</v>
      </c>
      <c r="N264" s="303"/>
      <c r="O264" s="308">
        <f t="shared" si="46"/>
        <v>0</v>
      </c>
    </row>
    <row r="265" spans="1:15" s="304" customFormat="1" ht="17.25" customHeight="1" outlineLevel="1" x14ac:dyDescent="0.2">
      <c r="A265" s="296" t="s">
        <v>565</v>
      </c>
      <c r="B265" s="297"/>
      <c r="C265" s="297" t="s">
        <v>569</v>
      </c>
      <c r="D265" s="568">
        <f>(40.791-E265-F265)*0</f>
        <v>0</v>
      </c>
      <c r="E265" s="568">
        <f>1.33*0</f>
        <v>0</v>
      </c>
      <c r="F265" s="568">
        <f>37.03*0</f>
        <v>0</v>
      </c>
      <c r="G265" s="299"/>
      <c r="H265" s="300"/>
      <c r="I265" s="301"/>
      <c r="J265" s="302"/>
      <c r="K265" s="308">
        <f t="shared" si="48"/>
        <v>0</v>
      </c>
      <c r="L265" s="308">
        <f t="shared" si="48"/>
        <v>0</v>
      </c>
      <c r="M265" s="308">
        <f t="shared" si="49"/>
        <v>0</v>
      </c>
      <c r="N265" s="303"/>
      <c r="O265" s="308">
        <f t="shared" si="46"/>
        <v>0</v>
      </c>
    </row>
    <row r="266" spans="1:15" s="304" customFormat="1" ht="17.25" customHeight="1" outlineLevel="1" x14ac:dyDescent="0.2">
      <c r="A266" s="296" t="s">
        <v>567</v>
      </c>
      <c r="B266" s="297"/>
      <c r="C266" s="297" t="s">
        <v>570</v>
      </c>
      <c r="D266" s="568">
        <f>(6737.702-E266-F266)*0</f>
        <v>0</v>
      </c>
      <c r="E266" s="568">
        <f>2.47*0</f>
        <v>0</v>
      </c>
      <c r="F266" s="568">
        <f>6464.18*0</f>
        <v>0</v>
      </c>
      <c r="G266" s="299"/>
      <c r="H266" s="300"/>
      <c r="I266" s="301"/>
      <c r="J266" s="302"/>
      <c r="K266" s="308">
        <f t="shared" si="48"/>
        <v>0</v>
      </c>
      <c r="L266" s="308">
        <f t="shared" si="48"/>
        <v>0</v>
      </c>
      <c r="M266" s="308">
        <f t="shared" si="49"/>
        <v>0</v>
      </c>
      <c r="N266" s="303"/>
      <c r="O266" s="308">
        <f t="shared" si="46"/>
        <v>0</v>
      </c>
    </row>
    <row r="267" spans="1:15" s="304" customFormat="1" ht="28.5" customHeight="1" outlineLevel="1" x14ac:dyDescent="0.2">
      <c r="A267" s="296" t="s">
        <v>568</v>
      </c>
      <c r="B267" s="297"/>
      <c r="C267" s="297" t="s">
        <v>532</v>
      </c>
      <c r="D267" s="568">
        <f>39.34*0</f>
        <v>0</v>
      </c>
      <c r="E267" s="298"/>
      <c r="F267" s="298"/>
      <c r="G267" s="299"/>
      <c r="H267" s="300"/>
      <c r="I267" s="301"/>
      <c r="J267" s="302"/>
      <c r="K267" s="308">
        <f t="shared" si="48"/>
        <v>0</v>
      </c>
      <c r="L267" s="308">
        <f t="shared" si="48"/>
        <v>0</v>
      </c>
      <c r="M267" s="308">
        <f t="shared" si="49"/>
        <v>0</v>
      </c>
      <c r="N267" s="303"/>
      <c r="O267" s="308">
        <f t="shared" si="46"/>
        <v>0</v>
      </c>
    </row>
    <row r="268" spans="1:15" s="557" customFormat="1" ht="30.75" customHeight="1" x14ac:dyDescent="0.2">
      <c r="A268" s="310">
        <v>15</v>
      </c>
      <c r="B268" s="557" t="s">
        <v>61</v>
      </c>
      <c r="C268" s="557" t="s">
        <v>62</v>
      </c>
      <c r="D268" s="306">
        <f>SUM(D269:D273)</f>
        <v>0</v>
      </c>
      <c r="E268" s="306"/>
      <c r="F268" s="306"/>
      <c r="G268" s="40"/>
      <c r="H268" s="40">
        <f>D268+E268+F268+G268</f>
        <v>0</v>
      </c>
      <c r="I268" s="40"/>
      <c r="J268" s="558"/>
      <c r="K268" s="307">
        <f>SUM(K269:K273)</f>
        <v>0</v>
      </c>
      <c r="L268" s="307">
        <f>SUM(L269:L273)</f>
        <v>0</v>
      </c>
      <c r="M268" s="307">
        <f>SUM(M269:M273)</f>
        <v>0</v>
      </c>
      <c r="N268" s="307"/>
      <c r="O268" s="307">
        <f>SUM(O269:O273)</f>
        <v>0</v>
      </c>
    </row>
    <row r="269" spans="1:15" s="304" customFormat="1" ht="17.25" customHeight="1" outlineLevel="1" x14ac:dyDescent="0.2">
      <c r="A269" s="296" t="s">
        <v>571</v>
      </c>
      <c r="B269" s="297"/>
      <c r="C269" s="297" t="s">
        <v>374</v>
      </c>
      <c r="D269" s="568">
        <f>91.88*0</f>
        <v>0</v>
      </c>
      <c r="E269" s="298"/>
      <c r="F269" s="298"/>
      <c r="G269" s="299"/>
      <c r="H269" s="300"/>
      <c r="I269" s="301"/>
      <c r="J269" s="302"/>
      <c r="K269" s="308">
        <f t="shared" ref="K269:L273" si="50">((D269*7.99)+(D269*2.3%+(D269+D269*2.3%)*1%-D269*2.3%*15%)*8.1)*1000</f>
        <v>0</v>
      </c>
      <c r="L269" s="308">
        <f t="shared" si="50"/>
        <v>0</v>
      </c>
      <c r="M269" s="308"/>
      <c r="N269" s="308"/>
      <c r="O269" s="308">
        <f>SUM(K269:N269)</f>
        <v>0</v>
      </c>
    </row>
    <row r="270" spans="1:15" s="304" customFormat="1" ht="17.25" customHeight="1" outlineLevel="1" x14ac:dyDescent="0.2">
      <c r="A270" s="296" t="s">
        <v>574</v>
      </c>
      <c r="B270" s="297"/>
      <c r="C270" s="297" t="s">
        <v>572</v>
      </c>
      <c r="D270" s="568">
        <f>271.16*0</f>
        <v>0</v>
      </c>
      <c r="E270" s="298"/>
      <c r="F270" s="298"/>
      <c r="G270" s="299"/>
      <c r="H270" s="300"/>
      <c r="I270" s="301"/>
      <c r="J270" s="302"/>
      <c r="K270" s="308">
        <f t="shared" si="50"/>
        <v>0</v>
      </c>
      <c r="L270" s="308">
        <f t="shared" si="50"/>
        <v>0</v>
      </c>
      <c r="M270" s="308"/>
      <c r="N270" s="308"/>
      <c r="O270" s="308">
        <f>SUM(K270:N270)</f>
        <v>0</v>
      </c>
    </row>
    <row r="271" spans="1:15" s="304" customFormat="1" ht="17.25" customHeight="1" outlineLevel="1" x14ac:dyDescent="0.2">
      <c r="A271" s="296" t="s">
        <v>575</v>
      </c>
      <c r="B271" s="297"/>
      <c r="C271" s="297" t="s">
        <v>573</v>
      </c>
      <c r="D271" s="568">
        <f>20.52*0</f>
        <v>0</v>
      </c>
      <c r="E271" s="298"/>
      <c r="F271" s="298"/>
      <c r="G271" s="299"/>
      <c r="H271" s="300"/>
      <c r="I271" s="301"/>
      <c r="J271" s="302"/>
      <c r="K271" s="308">
        <f t="shared" si="50"/>
        <v>0</v>
      </c>
      <c r="L271" s="308">
        <f t="shared" si="50"/>
        <v>0</v>
      </c>
      <c r="M271" s="308"/>
      <c r="N271" s="308"/>
      <c r="O271" s="308">
        <f>SUM(K271:N271)</f>
        <v>0</v>
      </c>
    </row>
    <row r="272" spans="1:15" s="304" customFormat="1" ht="17.25" customHeight="1" outlineLevel="1" x14ac:dyDescent="0.2">
      <c r="A272" s="296" t="s">
        <v>577</v>
      </c>
      <c r="B272" s="297"/>
      <c r="C272" s="297" t="s">
        <v>576</v>
      </c>
      <c r="D272" s="568">
        <f>(49.45-0.01)*0</f>
        <v>0</v>
      </c>
      <c r="E272" s="298"/>
      <c r="F272" s="298"/>
      <c r="G272" s="299"/>
      <c r="H272" s="300"/>
      <c r="I272" s="301"/>
      <c r="J272" s="302"/>
      <c r="K272" s="308">
        <f t="shared" si="50"/>
        <v>0</v>
      </c>
      <c r="L272" s="308">
        <f t="shared" si="50"/>
        <v>0</v>
      </c>
      <c r="M272" s="308"/>
      <c r="N272" s="308"/>
      <c r="O272" s="308">
        <f>SUM(K272:N272)</f>
        <v>0</v>
      </c>
    </row>
    <row r="273" spans="1:15" s="304" customFormat="1" ht="29.25" customHeight="1" outlineLevel="1" x14ac:dyDescent="0.2">
      <c r="A273" s="296" t="s">
        <v>578</v>
      </c>
      <c r="B273" s="297"/>
      <c r="C273" s="297" t="s">
        <v>561</v>
      </c>
      <c r="D273" s="568">
        <f>18.26*0</f>
        <v>0</v>
      </c>
      <c r="E273" s="298"/>
      <c r="F273" s="298"/>
      <c r="G273" s="299"/>
      <c r="H273" s="300"/>
      <c r="I273" s="301"/>
      <c r="J273" s="302"/>
      <c r="K273" s="308">
        <f t="shared" si="50"/>
        <v>0</v>
      </c>
      <c r="L273" s="308">
        <f t="shared" si="50"/>
        <v>0</v>
      </c>
      <c r="M273" s="308"/>
      <c r="N273" s="308"/>
      <c r="O273" s="308">
        <f>SUM(K273:N273)</f>
        <v>0</v>
      </c>
    </row>
    <row r="274" spans="1:15" s="4" customFormat="1" ht="27.95" customHeight="1" x14ac:dyDescent="0.2">
      <c r="A274" s="28"/>
      <c r="B274" s="673" t="s">
        <v>63</v>
      </c>
      <c r="C274" s="673"/>
      <c r="D274" s="24">
        <f>D255+D261+D268</f>
        <v>0</v>
      </c>
      <c r="E274" s="24">
        <f>E255+E261+E268</f>
        <v>0</v>
      </c>
      <c r="F274" s="24">
        <f>F255+F261+F268</f>
        <v>0</v>
      </c>
      <c r="G274" s="24"/>
      <c r="H274" s="24">
        <f>H255+H261+H268</f>
        <v>0</v>
      </c>
      <c r="I274" s="76"/>
      <c r="J274" s="2"/>
      <c r="K274" s="69">
        <f>K255+K261+K268</f>
        <v>0</v>
      </c>
      <c r="L274" s="69">
        <f>L255+L261+L268</f>
        <v>0</v>
      </c>
      <c r="M274" s="69">
        <f>M255+M261+M268</f>
        <v>0</v>
      </c>
      <c r="N274" s="69">
        <f>N255+N261+N268</f>
        <v>0</v>
      </c>
      <c r="O274" s="69">
        <f>O255+O261+O268</f>
        <v>0</v>
      </c>
    </row>
    <row r="275" spans="1:15" s="4" customFormat="1" ht="12.75" customHeight="1" x14ac:dyDescent="0.2">
      <c r="A275" s="686" t="s">
        <v>64</v>
      </c>
      <c r="B275" s="687"/>
      <c r="C275" s="687"/>
      <c r="D275" s="687"/>
      <c r="E275" s="687"/>
      <c r="F275" s="687"/>
      <c r="G275" s="687"/>
      <c r="H275" s="688"/>
      <c r="I275" s="75"/>
      <c r="J275" s="2"/>
      <c r="K275" s="61"/>
      <c r="L275" s="61"/>
      <c r="M275" s="61">
        <f>F275*4.09*1000</f>
        <v>0</v>
      </c>
      <c r="N275" s="61"/>
      <c r="O275" s="61"/>
    </row>
    <row r="276" spans="1:15" s="58" customFormat="1" ht="38.25" x14ac:dyDescent="0.2">
      <c r="A276" s="56">
        <v>16</v>
      </c>
      <c r="B276" s="556" t="s">
        <v>65</v>
      </c>
      <c r="C276" s="556" t="s">
        <v>66</v>
      </c>
      <c r="D276" s="32">
        <f>D277+D281+D284</f>
        <v>1763.56</v>
      </c>
      <c r="E276" s="47"/>
      <c r="F276" s="47"/>
      <c r="G276" s="47"/>
      <c r="H276" s="57">
        <f>H277+H281+H284</f>
        <v>1763.56</v>
      </c>
      <c r="I276" s="77"/>
      <c r="J276" s="12"/>
      <c r="K276" s="69">
        <f>K277+K281+K284</f>
        <v>14710238.4</v>
      </c>
      <c r="L276" s="69">
        <f>L277+L281+L284</f>
        <v>0</v>
      </c>
      <c r="M276" s="69">
        <f>M277+M281+M284</f>
        <v>0</v>
      </c>
      <c r="N276" s="69">
        <f>N277+N281+N284</f>
        <v>0</v>
      </c>
      <c r="O276" s="69">
        <f>O277+O281+O284</f>
        <v>14710238.4</v>
      </c>
    </row>
    <row r="277" spans="1:15" s="4" customFormat="1" ht="25.5" x14ac:dyDescent="0.2">
      <c r="A277" s="59" t="s">
        <v>278</v>
      </c>
      <c r="B277" s="557" t="s">
        <v>272</v>
      </c>
      <c r="C277" s="557" t="s">
        <v>273</v>
      </c>
      <c r="D277" s="24">
        <f>SUM(D278:D280)</f>
        <v>1348.3</v>
      </c>
      <c r="E277" s="24"/>
      <c r="F277" s="24"/>
      <c r="G277" s="25"/>
      <c r="H277" s="26">
        <f>SUM(D277:G277)</f>
        <v>1348.3</v>
      </c>
      <c r="I277" s="76"/>
      <c r="J277" s="2"/>
      <c r="K277" s="61">
        <f>SUM(K278:K280)</f>
        <v>11246464.220000001</v>
      </c>
      <c r="L277" s="61">
        <f>SUM(L278:L280)</f>
        <v>0</v>
      </c>
      <c r="M277" s="61">
        <f>SUM(M278:M280)</f>
        <v>0</v>
      </c>
      <c r="N277" s="61"/>
      <c r="O277" s="61">
        <f t="shared" ref="O277:O284" si="51">SUM(K277:N277)</f>
        <v>11246464.220000001</v>
      </c>
    </row>
    <row r="278" spans="1:15" s="304" customFormat="1" ht="25.5" outlineLevel="1" x14ac:dyDescent="0.2">
      <c r="A278" s="311" t="s">
        <v>400</v>
      </c>
      <c r="B278" s="297"/>
      <c r="C278" s="297" t="s">
        <v>399</v>
      </c>
      <c r="D278" s="298">
        <v>511.9</v>
      </c>
      <c r="E278" s="299"/>
      <c r="F278" s="299"/>
      <c r="G278" s="299"/>
      <c r="H278" s="312"/>
      <c r="I278" s="313"/>
      <c r="J278" s="302"/>
      <c r="K278" s="308">
        <f t="shared" ref="K278:L280" si="52">((D278)*1.023*1.01-(D278)*0.023*0.15)*8.1*1000</f>
        <v>4269869.49</v>
      </c>
      <c r="L278" s="308">
        <f t="shared" si="52"/>
        <v>0</v>
      </c>
      <c r="M278" s="308">
        <f>F278*4.09*1000</f>
        <v>0</v>
      </c>
      <c r="N278" s="303"/>
      <c r="O278" s="308">
        <f t="shared" si="51"/>
        <v>4269869.49</v>
      </c>
    </row>
    <row r="279" spans="1:15" s="304" customFormat="1" ht="25.5" outlineLevel="1" x14ac:dyDescent="0.2">
      <c r="A279" s="311" t="s">
        <v>402</v>
      </c>
      <c r="B279" s="297"/>
      <c r="C279" s="297" t="s">
        <v>401</v>
      </c>
      <c r="D279" s="298">
        <v>157.27000000000001</v>
      </c>
      <c r="E279" s="299"/>
      <c r="F279" s="299"/>
      <c r="G279" s="299"/>
      <c r="H279" s="312"/>
      <c r="I279" s="313"/>
      <c r="J279" s="302"/>
      <c r="K279" s="308">
        <f t="shared" si="52"/>
        <v>1311823.3500000001</v>
      </c>
      <c r="L279" s="308">
        <f t="shared" si="52"/>
        <v>0</v>
      </c>
      <c r="M279" s="308">
        <f>F279*4.09*1000</f>
        <v>0</v>
      </c>
      <c r="N279" s="303"/>
      <c r="O279" s="308">
        <f t="shared" si="51"/>
        <v>1311823.3500000001</v>
      </c>
    </row>
    <row r="280" spans="1:15" s="304" customFormat="1" ht="34.5" customHeight="1" outlineLevel="1" x14ac:dyDescent="0.2">
      <c r="A280" s="311" t="s">
        <v>403</v>
      </c>
      <c r="B280" s="297"/>
      <c r="C280" s="297" t="s">
        <v>404</v>
      </c>
      <c r="D280" s="298">
        <v>679.13</v>
      </c>
      <c r="E280" s="299"/>
      <c r="F280" s="299"/>
      <c r="G280" s="299"/>
      <c r="H280" s="312"/>
      <c r="I280" s="313"/>
      <c r="J280" s="302"/>
      <c r="K280" s="308">
        <f t="shared" si="52"/>
        <v>5664771.3799999999</v>
      </c>
      <c r="L280" s="308">
        <f t="shared" si="52"/>
        <v>0</v>
      </c>
      <c r="M280" s="308">
        <f>F280*4.09*1000</f>
        <v>0</v>
      </c>
      <c r="N280" s="303"/>
      <c r="O280" s="308">
        <f t="shared" si="51"/>
        <v>5664771.3799999999</v>
      </c>
    </row>
    <row r="281" spans="1:15" s="4" customFormat="1" ht="17.25" customHeight="1" x14ac:dyDescent="0.2">
      <c r="A281" s="59" t="s">
        <v>279</v>
      </c>
      <c r="B281" s="557" t="s">
        <v>274</v>
      </c>
      <c r="C281" s="557" t="s">
        <v>275</v>
      </c>
      <c r="D281" s="24">
        <f>SUM(D282:D283)</f>
        <v>386.58</v>
      </c>
      <c r="E281" s="24"/>
      <c r="F281" s="24"/>
      <c r="G281" s="25"/>
      <c r="H281" s="26">
        <f>SUM(D281:G281)</f>
        <v>386.58</v>
      </c>
      <c r="I281" s="76"/>
      <c r="J281" s="2"/>
      <c r="K281" s="61">
        <f>SUM(K282:K283)</f>
        <v>3224548.05</v>
      </c>
      <c r="L281" s="61">
        <f>SUM(L282:L283)</f>
        <v>0</v>
      </c>
      <c r="M281" s="61">
        <f>SUM(M282:M283)</f>
        <v>0</v>
      </c>
      <c r="N281" s="61"/>
      <c r="O281" s="61">
        <f t="shared" si="51"/>
        <v>3224548.05</v>
      </c>
    </row>
    <row r="282" spans="1:15" s="315" customFormat="1" ht="24" customHeight="1" outlineLevel="1" x14ac:dyDescent="0.2">
      <c r="A282" s="296" t="s">
        <v>406</v>
      </c>
      <c r="B282" s="297"/>
      <c r="C282" s="297" t="s">
        <v>405</v>
      </c>
      <c r="D282" s="298">
        <v>250.32</v>
      </c>
      <c r="E282" s="299"/>
      <c r="F282" s="299"/>
      <c r="G282" s="299"/>
      <c r="H282" s="300"/>
      <c r="I282" s="301"/>
      <c r="J282" s="314"/>
      <c r="K282" s="308">
        <f t="shared" ref="K282:L284" si="53">((D282)*1.023*1.01-(D282)*0.023*0.15)*8.1*1000</f>
        <v>2087973.69</v>
      </c>
      <c r="L282" s="308">
        <f t="shared" si="53"/>
        <v>0</v>
      </c>
      <c r="M282" s="308">
        <f>F282*4.09*1000</f>
        <v>0</v>
      </c>
      <c r="N282" s="308"/>
      <c r="O282" s="308">
        <f t="shared" si="51"/>
        <v>2087973.69</v>
      </c>
    </row>
    <row r="283" spans="1:15" s="315" customFormat="1" ht="23.25" customHeight="1" outlineLevel="1" x14ac:dyDescent="0.2">
      <c r="A283" s="296" t="s">
        <v>408</v>
      </c>
      <c r="B283" s="297"/>
      <c r="C283" s="297" t="s">
        <v>407</v>
      </c>
      <c r="D283" s="298">
        <v>136.26</v>
      </c>
      <c r="E283" s="299"/>
      <c r="F283" s="299"/>
      <c r="G283" s="299"/>
      <c r="H283" s="300"/>
      <c r="I283" s="301"/>
      <c r="J283" s="314"/>
      <c r="K283" s="308">
        <f t="shared" si="53"/>
        <v>1136574.3600000001</v>
      </c>
      <c r="L283" s="308">
        <f t="shared" si="53"/>
        <v>0</v>
      </c>
      <c r="M283" s="308">
        <f>F283*4.09*1000</f>
        <v>0</v>
      </c>
      <c r="N283" s="308"/>
      <c r="O283" s="308">
        <f t="shared" si="51"/>
        <v>1136574.3600000001</v>
      </c>
    </row>
    <row r="284" spans="1:15" s="315" customFormat="1" ht="35.25" customHeight="1" x14ac:dyDescent="0.2">
      <c r="A284" s="296" t="s">
        <v>878</v>
      </c>
      <c r="B284" s="297" t="s">
        <v>276</v>
      </c>
      <c r="C284" s="297" t="s">
        <v>277</v>
      </c>
      <c r="D284" s="298">
        <v>28.68</v>
      </c>
      <c r="E284" s="299"/>
      <c r="F284" s="299"/>
      <c r="G284" s="299"/>
      <c r="H284" s="300">
        <f>SUM(D284:G284)</f>
        <v>28.68</v>
      </c>
      <c r="I284" s="301"/>
      <c r="J284" s="314"/>
      <c r="K284" s="308">
        <f t="shared" si="53"/>
        <v>239226.13</v>
      </c>
      <c r="L284" s="308">
        <f t="shared" si="53"/>
        <v>0</v>
      </c>
      <c r="M284" s="308">
        <f>F284*4.09*1000</f>
        <v>0</v>
      </c>
      <c r="N284" s="308"/>
      <c r="O284" s="308">
        <f t="shared" si="51"/>
        <v>239226.13</v>
      </c>
    </row>
    <row r="285" spans="1:15" s="58" customFormat="1" ht="38.25" x14ac:dyDescent="0.2">
      <c r="A285" s="56">
        <v>17</v>
      </c>
      <c r="B285" s="556" t="s">
        <v>67</v>
      </c>
      <c r="C285" s="556" t="s">
        <v>68</v>
      </c>
      <c r="D285" s="32">
        <f>D286+D290+D293</f>
        <v>1116.42</v>
      </c>
      <c r="E285" s="47"/>
      <c r="F285" s="47"/>
      <c r="G285" s="47"/>
      <c r="H285" s="57">
        <f>H286+H290+H293</f>
        <v>1116.42</v>
      </c>
      <c r="I285" s="77"/>
      <c r="J285" s="12"/>
      <c r="K285" s="69">
        <f>K286+K290+K293</f>
        <v>9312302.5999999996</v>
      </c>
      <c r="L285" s="69">
        <f>L286+L290+L293</f>
        <v>0</v>
      </c>
      <c r="M285" s="69">
        <f>M286+M290+M293</f>
        <v>0</v>
      </c>
      <c r="N285" s="69">
        <f>N286+N290+N293</f>
        <v>0</v>
      </c>
      <c r="O285" s="69">
        <f>O286+O290+O293</f>
        <v>9312302.5999999996</v>
      </c>
    </row>
    <row r="286" spans="1:15" s="4" customFormat="1" ht="27.75" customHeight="1" x14ac:dyDescent="0.2">
      <c r="A286" s="59" t="s">
        <v>445</v>
      </c>
      <c r="B286" s="557" t="s">
        <v>280</v>
      </c>
      <c r="C286" s="557" t="s">
        <v>281</v>
      </c>
      <c r="D286" s="24">
        <f>SUM(D287:D289)</f>
        <v>787.47</v>
      </c>
      <c r="E286" s="24"/>
      <c r="F286" s="24"/>
      <c r="G286" s="25"/>
      <c r="H286" s="26">
        <f>SUM(D286:G286)</f>
        <v>787.47</v>
      </c>
      <c r="I286" s="76"/>
      <c r="J286" s="2"/>
      <c r="K286" s="61">
        <f>SUM(K287:K289)</f>
        <v>6568458.9400000004</v>
      </c>
      <c r="L286" s="61">
        <f>SUM(L287:L289)</f>
        <v>0</v>
      </c>
      <c r="M286" s="61">
        <f>SUM(M287:M289)</f>
        <v>0</v>
      </c>
      <c r="N286" s="61">
        <f>SUM(N287:N289)</f>
        <v>0</v>
      </c>
      <c r="O286" s="61">
        <f>SUM(O287:O289)</f>
        <v>6568458.9400000004</v>
      </c>
    </row>
    <row r="287" spans="1:15" s="315" customFormat="1" ht="36" customHeight="1" outlineLevel="1" x14ac:dyDescent="0.2">
      <c r="A287" s="296" t="s">
        <v>446</v>
      </c>
      <c r="B287" s="297"/>
      <c r="C287" s="316" t="s">
        <v>399</v>
      </c>
      <c r="D287" s="298">
        <v>481.9</v>
      </c>
      <c r="E287" s="299"/>
      <c r="F287" s="299"/>
      <c r="G287" s="299"/>
      <c r="H287" s="300"/>
      <c r="I287" s="301"/>
      <c r="J287" s="314"/>
      <c r="K287" s="308">
        <f t="shared" ref="K287:L289" si="54">((D287)*1.023*1.01-(D287)*0.023*0.15)*8.1*1000</f>
        <v>4019632.95</v>
      </c>
      <c r="L287" s="308">
        <f t="shared" si="54"/>
        <v>0</v>
      </c>
      <c r="M287" s="308">
        <f>F287*4.09*1000</f>
        <v>0</v>
      </c>
      <c r="N287" s="308"/>
      <c r="O287" s="308">
        <f t="shared" ref="O287:O293" si="55">SUM(K287:N287)</f>
        <v>4019632.95</v>
      </c>
    </row>
    <row r="288" spans="1:15" s="315" customFormat="1" ht="35.25" customHeight="1" outlineLevel="1" x14ac:dyDescent="0.2">
      <c r="A288" s="296" t="s">
        <v>447</v>
      </c>
      <c r="B288" s="297"/>
      <c r="C288" s="316" t="s">
        <v>401</v>
      </c>
      <c r="D288" s="298">
        <v>210.31</v>
      </c>
      <c r="E288" s="299"/>
      <c r="F288" s="299"/>
      <c r="G288" s="299"/>
      <c r="H288" s="300"/>
      <c r="I288" s="301"/>
      <c r="J288" s="314"/>
      <c r="K288" s="308">
        <f t="shared" si="54"/>
        <v>1754241.56</v>
      </c>
      <c r="L288" s="308">
        <f t="shared" si="54"/>
        <v>0</v>
      </c>
      <c r="M288" s="308">
        <f>F288*4.09*1000</f>
        <v>0</v>
      </c>
      <c r="N288" s="308"/>
      <c r="O288" s="308">
        <f t="shared" si="55"/>
        <v>1754241.56</v>
      </c>
    </row>
    <row r="289" spans="1:17" s="315" customFormat="1" ht="33.75" customHeight="1" outlineLevel="1" x14ac:dyDescent="0.2">
      <c r="A289" s="296" t="s">
        <v>448</v>
      </c>
      <c r="B289" s="297"/>
      <c r="C289" s="316" t="s">
        <v>404</v>
      </c>
      <c r="D289" s="298">
        <f>95.25+0.01</f>
        <v>95.26</v>
      </c>
      <c r="E289" s="299"/>
      <c r="F289" s="299"/>
      <c r="G289" s="299"/>
      <c r="H289" s="300"/>
      <c r="I289" s="301"/>
      <c r="J289" s="314"/>
      <c r="K289" s="308">
        <f t="shared" si="54"/>
        <v>794584.43</v>
      </c>
      <c r="L289" s="308">
        <f t="shared" si="54"/>
        <v>0</v>
      </c>
      <c r="M289" s="308">
        <f>F289*4.09*1000</f>
        <v>0</v>
      </c>
      <c r="N289" s="308"/>
      <c r="O289" s="308">
        <f t="shared" si="55"/>
        <v>794584.43</v>
      </c>
    </row>
    <row r="290" spans="1:17" s="4" customFormat="1" ht="17.25" customHeight="1" x14ac:dyDescent="0.2">
      <c r="A290" s="59" t="s">
        <v>449</v>
      </c>
      <c r="B290" s="557" t="s">
        <v>282</v>
      </c>
      <c r="C290" s="557" t="s">
        <v>283</v>
      </c>
      <c r="D290" s="24">
        <f>SUM(D291:D292)</f>
        <v>306.43</v>
      </c>
      <c r="E290" s="24"/>
      <c r="F290" s="24"/>
      <c r="G290" s="25"/>
      <c r="H290" s="26">
        <f>SUM(D290:G290)</f>
        <v>306.43</v>
      </c>
      <c r="I290" s="76"/>
      <c r="J290" s="2"/>
      <c r="K290" s="61">
        <f>SUM(K291:K292)</f>
        <v>2555999.4300000002</v>
      </c>
      <c r="L290" s="61">
        <f>SUM(L291:L292)</f>
        <v>0</v>
      </c>
      <c r="M290" s="61">
        <f>SUM(M291:M292)</f>
        <v>0</v>
      </c>
      <c r="N290" s="61"/>
      <c r="O290" s="61">
        <f t="shared" si="55"/>
        <v>2555999.4300000002</v>
      </c>
    </row>
    <row r="291" spans="1:17" s="315" customFormat="1" ht="26.25" customHeight="1" outlineLevel="1" x14ac:dyDescent="0.2">
      <c r="A291" s="296" t="s">
        <v>450</v>
      </c>
      <c r="B291" s="297"/>
      <c r="C291" s="316" t="s">
        <v>405</v>
      </c>
      <c r="D291" s="298">
        <f>200.73-0.01</f>
        <v>200.72</v>
      </c>
      <c r="E291" s="299"/>
      <c r="F291" s="299"/>
      <c r="G291" s="299"/>
      <c r="H291" s="300"/>
      <c r="I291" s="301"/>
      <c r="J291" s="314"/>
      <c r="K291" s="308">
        <f t="shared" ref="K291:L293" si="56">((D291)*1.023*1.01-(D291)*0.023*0.15)*8.1*1000</f>
        <v>1674249.28</v>
      </c>
      <c r="L291" s="308">
        <f t="shared" si="56"/>
        <v>0</v>
      </c>
      <c r="M291" s="308">
        <f>F291*4.09*1000</f>
        <v>0</v>
      </c>
      <c r="N291" s="308"/>
      <c r="O291" s="308">
        <f t="shared" si="55"/>
        <v>1674249.28</v>
      </c>
    </row>
    <row r="292" spans="1:17" s="315" customFormat="1" ht="26.25" customHeight="1" outlineLevel="1" x14ac:dyDescent="0.2">
      <c r="A292" s="296" t="s">
        <v>451</v>
      </c>
      <c r="B292" s="297"/>
      <c r="C292" s="316" t="s">
        <v>407</v>
      </c>
      <c r="D292" s="298">
        <v>105.71</v>
      </c>
      <c r="E292" s="299"/>
      <c r="F292" s="299"/>
      <c r="G292" s="299"/>
      <c r="H292" s="300"/>
      <c r="I292" s="301"/>
      <c r="J292" s="314"/>
      <c r="K292" s="308">
        <f t="shared" si="56"/>
        <v>881750.15</v>
      </c>
      <c r="L292" s="308">
        <f t="shared" si="56"/>
        <v>0</v>
      </c>
      <c r="M292" s="308">
        <f>F292*4.09*1000</f>
        <v>0</v>
      </c>
      <c r="N292" s="308"/>
      <c r="O292" s="308">
        <f t="shared" si="55"/>
        <v>881750.15</v>
      </c>
    </row>
    <row r="293" spans="1:17" s="315" customFormat="1" ht="32.25" customHeight="1" x14ac:dyDescent="0.2">
      <c r="A293" s="296" t="s">
        <v>879</v>
      </c>
      <c r="B293" s="297" t="s">
        <v>284</v>
      </c>
      <c r="C293" s="297" t="s">
        <v>285</v>
      </c>
      <c r="D293" s="298">
        <v>22.52</v>
      </c>
      <c r="E293" s="299"/>
      <c r="F293" s="299"/>
      <c r="G293" s="299"/>
      <c r="H293" s="300">
        <f>SUM(D293:G293)</f>
        <v>22.52</v>
      </c>
      <c r="I293" s="301"/>
      <c r="J293" s="314"/>
      <c r="K293" s="308">
        <f t="shared" si="56"/>
        <v>187844.23</v>
      </c>
      <c r="L293" s="308">
        <f t="shared" si="56"/>
        <v>0</v>
      </c>
      <c r="M293" s="308">
        <f>F293*4.09*1000</f>
        <v>0</v>
      </c>
      <c r="N293" s="308"/>
      <c r="O293" s="308">
        <f t="shared" si="55"/>
        <v>187844.23</v>
      </c>
    </row>
    <row r="294" spans="1:17" s="4" customFormat="1" ht="27.95" customHeight="1" x14ac:dyDescent="0.2">
      <c r="A294" s="28"/>
      <c r="B294" s="673" t="s">
        <v>69</v>
      </c>
      <c r="C294" s="673"/>
      <c r="D294" s="24">
        <f>D285+D276</f>
        <v>2879.98</v>
      </c>
      <c r="E294" s="25"/>
      <c r="F294" s="25"/>
      <c r="G294" s="25"/>
      <c r="H294" s="26">
        <f>G294+F294+E294+D294</f>
        <v>2879.98</v>
      </c>
      <c r="I294" s="76"/>
      <c r="J294" s="2"/>
      <c r="K294" s="69">
        <f>K285+K276</f>
        <v>24022541</v>
      </c>
      <c r="L294" s="69">
        <f>L285+L276</f>
        <v>0</v>
      </c>
      <c r="M294" s="69">
        <f>M285+M276</f>
        <v>0</v>
      </c>
      <c r="N294" s="69">
        <f>N285+N276</f>
        <v>0</v>
      </c>
      <c r="O294" s="69">
        <f>O285+O276</f>
        <v>24022541</v>
      </c>
    </row>
    <row r="295" spans="1:17" s="4" customFormat="1" ht="12.75" customHeight="1" x14ac:dyDescent="0.2">
      <c r="A295" s="28"/>
      <c r="B295" s="673" t="s">
        <v>70</v>
      </c>
      <c r="C295" s="673"/>
      <c r="D295" s="24">
        <f>D294+D274+D253+D240+D234+D39</f>
        <v>88268.17</v>
      </c>
      <c r="E295" s="24">
        <f>E294+E274+E253+E240+E234+E39</f>
        <v>5442.07</v>
      </c>
      <c r="F295" s="24">
        <f>F294+F274+F253+F240+F234+F39</f>
        <v>14272.99</v>
      </c>
      <c r="G295" s="24">
        <f>G294+G274+G253+G240+G234+G39</f>
        <v>1460.36</v>
      </c>
      <c r="H295" s="26">
        <f>H294+H274+H253+H240+H234+H39</f>
        <v>109443.59</v>
      </c>
      <c r="I295" s="76"/>
      <c r="J295" s="2"/>
      <c r="K295" s="69">
        <f>K294+K274+K253+K240+K234+K39</f>
        <v>733289779.40999997</v>
      </c>
      <c r="L295" s="69">
        <f>L294+L274+L253+L240+L234+L39</f>
        <v>45190919.789999999</v>
      </c>
      <c r="M295" s="69">
        <f>M294+M274+M253+M240+M234+M39</f>
        <v>58376529.100000001</v>
      </c>
      <c r="N295" s="69">
        <f>N294+N274+N253+N240+N234+N39</f>
        <v>8062053.7699999996</v>
      </c>
      <c r="O295" s="69">
        <f>O294+O274+O253+O240+O234+O39</f>
        <v>844919282.07000005</v>
      </c>
    </row>
    <row r="296" spans="1:17" s="4" customFormat="1" ht="12.75" customHeight="1" x14ac:dyDescent="0.2">
      <c r="A296" s="686" t="s">
        <v>71</v>
      </c>
      <c r="B296" s="687"/>
      <c r="C296" s="687"/>
      <c r="D296" s="687"/>
      <c r="E296" s="687"/>
      <c r="F296" s="687"/>
      <c r="G296" s="687"/>
      <c r="H296" s="688"/>
      <c r="I296" s="75"/>
      <c r="J296" s="2"/>
      <c r="K296" s="61"/>
      <c r="L296" s="61"/>
      <c r="M296" s="61"/>
      <c r="N296" s="61"/>
      <c r="O296" s="61"/>
    </row>
    <row r="297" spans="1:17" s="4" customFormat="1" ht="56.25" customHeight="1" x14ac:dyDescent="0.2">
      <c r="A297" s="22">
        <v>18</v>
      </c>
      <c r="B297" s="557" t="s">
        <v>72</v>
      </c>
      <c r="C297" s="557" t="s">
        <v>73</v>
      </c>
      <c r="D297" s="24">
        <f>ROUND(D295*2.3%,2)</f>
        <v>2030.17</v>
      </c>
      <c r="E297" s="24">
        <f>ROUND(E295*2.3%,2)</f>
        <v>125.17</v>
      </c>
      <c r="F297" s="25"/>
      <c r="G297" s="25"/>
      <c r="H297" s="26">
        <f>D297+E297</f>
        <v>2155.34</v>
      </c>
      <c r="I297" s="76"/>
      <c r="J297" s="2"/>
      <c r="K297" s="61"/>
      <c r="L297" s="61"/>
      <c r="M297" s="61"/>
      <c r="N297" s="61"/>
      <c r="O297" s="61"/>
    </row>
    <row r="298" spans="1:17" s="4" customFormat="1" ht="21" hidden="1" customHeight="1" x14ac:dyDescent="0.2">
      <c r="A298" s="22"/>
      <c r="B298" s="557"/>
      <c r="C298" s="27"/>
      <c r="D298" s="24">
        <v>0</v>
      </c>
      <c r="E298" s="25"/>
      <c r="F298" s="25"/>
      <c r="G298" s="25"/>
      <c r="H298" s="26">
        <v>0</v>
      </c>
      <c r="I298" s="76"/>
      <c r="J298" s="2"/>
      <c r="K298" s="61"/>
      <c r="L298" s="61"/>
      <c r="M298" s="61"/>
      <c r="N298" s="61"/>
      <c r="O298" s="61"/>
    </row>
    <row r="299" spans="1:17" s="4" customFormat="1" ht="12.75" customHeight="1" x14ac:dyDescent="0.2">
      <c r="A299" s="28"/>
      <c r="B299" s="673" t="s">
        <v>74</v>
      </c>
      <c r="C299" s="673"/>
      <c r="D299" s="24">
        <f>D298+D297</f>
        <v>2030.17</v>
      </c>
      <c r="E299" s="24">
        <f>E298+E297</f>
        <v>125.17</v>
      </c>
      <c r="F299" s="24">
        <f>F298+F297</f>
        <v>0</v>
      </c>
      <c r="G299" s="24">
        <f>G298+G297</f>
        <v>0</v>
      </c>
      <c r="H299" s="26">
        <f>H298+H297</f>
        <v>2155.34</v>
      </c>
      <c r="I299" s="76"/>
      <c r="J299" s="2"/>
      <c r="K299" s="61"/>
      <c r="L299" s="61"/>
      <c r="M299" s="61"/>
      <c r="N299" s="61"/>
      <c r="O299" s="61"/>
    </row>
    <row r="300" spans="1:17" s="4" customFormat="1" ht="12.75" customHeight="1" x14ac:dyDescent="0.2">
      <c r="A300" s="28"/>
      <c r="B300" s="706" t="s">
        <v>75</v>
      </c>
      <c r="C300" s="707"/>
      <c r="D300" s="24">
        <v>353.19</v>
      </c>
      <c r="E300" s="24">
        <v>18.82</v>
      </c>
      <c r="F300" s="24"/>
      <c r="G300" s="24"/>
      <c r="H300" s="26">
        <v>372.01</v>
      </c>
      <c r="I300" s="76"/>
      <c r="J300" s="2"/>
      <c r="K300" s="61"/>
      <c r="L300" s="61"/>
      <c r="M300" s="61"/>
      <c r="N300" s="61"/>
      <c r="O300" s="61"/>
    </row>
    <row r="301" spans="1:17" s="4" customFormat="1" ht="12.75" customHeight="1" x14ac:dyDescent="0.2">
      <c r="A301" s="28"/>
      <c r="B301" s="673" t="s">
        <v>76</v>
      </c>
      <c r="C301" s="673"/>
      <c r="D301" s="24">
        <f>D299+D295</f>
        <v>90298.34</v>
      </c>
      <c r="E301" s="24">
        <f>E299+E295</f>
        <v>5567.24</v>
      </c>
      <c r="F301" s="24">
        <f>F299+F295</f>
        <v>14272.99</v>
      </c>
      <c r="G301" s="24">
        <f>G299+G295</f>
        <v>1460.36</v>
      </c>
      <c r="H301" s="26">
        <f>H299+H295</f>
        <v>111598.93</v>
      </c>
      <c r="I301" s="76"/>
      <c r="J301" s="2"/>
      <c r="K301" s="69">
        <f>K299+K295</f>
        <v>733289779.40999997</v>
      </c>
      <c r="L301" s="69">
        <f>L299+L295</f>
        <v>45190919.789999999</v>
      </c>
      <c r="M301" s="69">
        <f>M299+M295</f>
        <v>58376529.100000001</v>
      </c>
      <c r="N301" s="69">
        <f>N299+N295</f>
        <v>8062053.7699999996</v>
      </c>
      <c r="O301" s="69">
        <f>O299+O295</f>
        <v>844919282.07000005</v>
      </c>
    </row>
    <row r="302" spans="1:17" s="4" customFormat="1" ht="12.75" customHeight="1" x14ac:dyDescent="0.2">
      <c r="A302" s="686" t="s">
        <v>77</v>
      </c>
      <c r="B302" s="687"/>
      <c r="C302" s="687"/>
      <c r="D302" s="687"/>
      <c r="E302" s="687"/>
      <c r="F302" s="687"/>
      <c r="G302" s="687"/>
      <c r="H302" s="688"/>
      <c r="I302" s="75"/>
      <c r="J302" s="2"/>
      <c r="K302" s="61"/>
      <c r="L302" s="61"/>
      <c r="M302" s="61"/>
      <c r="N302" s="61"/>
      <c r="O302" s="61"/>
    </row>
    <row r="303" spans="1:17" s="4" customFormat="1" ht="25.5" x14ac:dyDescent="0.2">
      <c r="A303" s="22">
        <v>19</v>
      </c>
      <c r="B303" s="557" t="s">
        <v>78</v>
      </c>
      <c r="C303" s="557" t="s">
        <v>79</v>
      </c>
      <c r="D303" s="24">
        <f>ROUND(D301*1%,2)</f>
        <v>902.98</v>
      </c>
      <c r="E303" s="24">
        <f>ROUND(E301*1%,2)</f>
        <v>55.67</v>
      </c>
      <c r="F303" s="25"/>
      <c r="G303" s="25"/>
      <c r="H303" s="26">
        <f>D303+E303+F303+G303</f>
        <v>958.65</v>
      </c>
      <c r="I303" s="76"/>
      <c r="J303" s="2"/>
      <c r="K303" s="61"/>
      <c r="L303" s="61"/>
      <c r="M303" s="61"/>
      <c r="N303" s="61"/>
      <c r="O303" s="61"/>
      <c r="Q303" s="4" t="s">
        <v>699</v>
      </c>
    </row>
    <row r="304" spans="1:17" s="58" customFormat="1" ht="38.25" x14ac:dyDescent="0.2">
      <c r="A304" s="56">
        <v>20</v>
      </c>
      <c r="B304" s="556" t="s">
        <v>80</v>
      </c>
      <c r="C304" s="556" t="s">
        <v>81</v>
      </c>
      <c r="D304" s="47"/>
      <c r="E304" s="47"/>
      <c r="F304" s="47"/>
      <c r="G304" s="32">
        <f>SUM(G305:G307)</f>
        <v>464.95</v>
      </c>
      <c r="H304" s="32">
        <f>SUM(H305:H307)</f>
        <v>464.95</v>
      </c>
      <c r="I304" s="77"/>
      <c r="J304" s="12"/>
      <c r="K304" s="69">
        <f>SUM(K305:K307)</f>
        <v>0</v>
      </c>
      <c r="L304" s="69">
        <f>SUM(L305:L307)</f>
        <v>0</v>
      </c>
      <c r="M304" s="69">
        <f>SUM(M305:M307)</f>
        <v>0</v>
      </c>
      <c r="N304" s="72">
        <f>SUM(N305:N307)</f>
        <v>7402004</v>
      </c>
      <c r="O304" s="69">
        <f>SUM(O305:O307)</f>
        <v>7402004</v>
      </c>
      <c r="P304" s="58">
        <f>N304*1.02</f>
        <v>7550044.0800000001</v>
      </c>
      <c r="Q304" s="185">
        <f>(N304+N308)/(K321+L321+N304+N308)</f>
        <v>1.6E-2</v>
      </c>
    </row>
    <row r="305" spans="1:16" s="4" customFormat="1" ht="25.5" x14ac:dyDescent="0.2">
      <c r="A305" s="59" t="s">
        <v>292</v>
      </c>
      <c r="B305" s="557" t="s">
        <v>286</v>
      </c>
      <c r="C305" s="557" t="s">
        <v>287</v>
      </c>
      <c r="D305" s="25"/>
      <c r="E305" s="25"/>
      <c r="F305" s="25"/>
      <c r="G305" s="24">
        <v>417.51</v>
      </c>
      <c r="H305" s="26">
        <f>D305+E305+F305+G305</f>
        <v>417.51</v>
      </c>
      <c r="I305" s="76"/>
      <c r="J305" s="2"/>
      <c r="K305" s="61"/>
      <c r="L305" s="61"/>
      <c r="M305" s="61">
        <f>F305*4.09*1000</f>
        <v>0</v>
      </c>
      <c r="N305" s="171">
        <f>G305*15.92*1000</f>
        <v>6646759.2000000002</v>
      </c>
      <c r="O305" s="61">
        <f>SUM(K305:N305)</f>
        <v>6646759.2000000002</v>
      </c>
    </row>
    <row r="306" spans="1:16" s="4" customFormat="1" ht="38.25" x14ac:dyDescent="0.2">
      <c r="A306" s="59" t="s">
        <v>293</v>
      </c>
      <c r="B306" s="557" t="s">
        <v>288</v>
      </c>
      <c r="C306" s="557" t="s">
        <v>289</v>
      </c>
      <c r="D306" s="25"/>
      <c r="E306" s="25"/>
      <c r="F306" s="25"/>
      <c r="G306" s="24">
        <v>31.89</v>
      </c>
      <c r="H306" s="26">
        <f>D306+E306+F306+G306</f>
        <v>31.89</v>
      </c>
      <c r="I306" s="76"/>
      <c r="J306" s="2"/>
      <c r="K306" s="61"/>
      <c r="L306" s="61"/>
      <c r="M306" s="61">
        <f>F306*4.09*1000</f>
        <v>0</v>
      </c>
      <c r="N306" s="171">
        <f>G306*15.92*1000</f>
        <v>507688.8</v>
      </c>
      <c r="O306" s="61">
        <f>SUM(K306:N306)</f>
        <v>507688.8</v>
      </c>
    </row>
    <row r="307" spans="1:16" s="4" customFormat="1" ht="25.5" x14ac:dyDescent="0.2">
      <c r="A307" s="59" t="s">
        <v>294</v>
      </c>
      <c r="B307" s="557" t="s">
        <v>290</v>
      </c>
      <c r="C307" s="557" t="s">
        <v>291</v>
      </c>
      <c r="D307" s="25"/>
      <c r="E307" s="25"/>
      <c r="F307" s="25"/>
      <c r="G307" s="24">
        <v>15.55</v>
      </c>
      <c r="H307" s="26">
        <f>D307+E307+F307+G307</f>
        <v>15.55</v>
      </c>
      <c r="I307" s="76"/>
      <c r="J307" s="2"/>
      <c r="K307" s="61"/>
      <c r="L307" s="61"/>
      <c r="M307" s="61">
        <f>F307*4.09*1000</f>
        <v>0</v>
      </c>
      <c r="N307" s="171">
        <f>G307*15.92*1000</f>
        <v>247556</v>
      </c>
      <c r="O307" s="61">
        <f>SUM(K307:N307)</f>
        <v>247556</v>
      </c>
    </row>
    <row r="308" spans="1:16" s="58" customFormat="1" ht="38.25" x14ac:dyDescent="0.2">
      <c r="A308" s="56">
        <v>21</v>
      </c>
      <c r="B308" s="556" t="s">
        <v>82</v>
      </c>
      <c r="C308" s="556" t="s">
        <v>83</v>
      </c>
      <c r="D308" s="47"/>
      <c r="E308" s="47"/>
      <c r="F308" s="47"/>
      <c r="G308" s="32">
        <f>SUM(G309:G311)</f>
        <v>335.19</v>
      </c>
      <c r="H308" s="32">
        <f>SUM(H309:H311)</f>
        <v>335.19</v>
      </c>
      <c r="I308" s="77"/>
      <c r="J308" s="12"/>
      <c r="K308" s="69">
        <f>SUM(K309:K311)</f>
        <v>0</v>
      </c>
      <c r="L308" s="69">
        <f>SUM(L309:L311)</f>
        <v>0</v>
      </c>
      <c r="M308" s="69">
        <f>SUM(M309:M311)</f>
        <v>0</v>
      </c>
      <c r="N308" s="72">
        <f>SUM(N309:N311)</f>
        <v>5336224.8</v>
      </c>
      <c r="O308" s="69">
        <f>SUM(O309:O311)</f>
        <v>5336224.8</v>
      </c>
      <c r="P308" s="58">
        <f>N308*1.02</f>
        <v>5442949.2960000001</v>
      </c>
    </row>
    <row r="309" spans="1:16" s="4" customFormat="1" ht="25.5" x14ac:dyDescent="0.2">
      <c r="A309" s="59" t="s">
        <v>301</v>
      </c>
      <c r="B309" s="557" t="s">
        <v>295</v>
      </c>
      <c r="C309" s="557" t="s">
        <v>296</v>
      </c>
      <c r="D309" s="25"/>
      <c r="E309" s="25"/>
      <c r="F309" s="25"/>
      <c r="G309" s="24">
        <v>290.32</v>
      </c>
      <c r="H309" s="26">
        <f t="shared" ref="H309:H320" si="57">D309+E309+F309+G309</f>
        <v>290.32</v>
      </c>
      <c r="I309" s="76"/>
      <c r="J309" s="2"/>
      <c r="K309" s="61"/>
      <c r="L309" s="61"/>
      <c r="M309" s="61">
        <f>F309*4.09*1000</f>
        <v>0</v>
      </c>
      <c r="N309" s="171">
        <f>G309*15.92*1000</f>
        <v>4621894.4000000004</v>
      </c>
      <c r="O309" s="61">
        <f t="shared" ref="O309:O319" si="58">SUM(K309:N309)</f>
        <v>4621894.4000000004</v>
      </c>
    </row>
    <row r="310" spans="1:16" s="231" customFormat="1" ht="38.25" x14ac:dyDescent="0.2">
      <c r="A310" s="59" t="s">
        <v>302</v>
      </c>
      <c r="B310" s="285" t="s">
        <v>297</v>
      </c>
      <c r="C310" s="285" t="s">
        <v>298</v>
      </c>
      <c r="D310" s="287"/>
      <c r="E310" s="287"/>
      <c r="F310" s="287"/>
      <c r="G310" s="286">
        <v>31.89</v>
      </c>
      <c r="H310" s="26">
        <f t="shared" si="57"/>
        <v>31.89</v>
      </c>
      <c r="I310" s="76"/>
      <c r="J310" s="230"/>
      <c r="K310" s="242"/>
      <c r="L310" s="242"/>
      <c r="M310" s="242">
        <f>F310*4.09*1000</f>
        <v>0</v>
      </c>
      <c r="N310" s="171">
        <f>G310*15.92*1000</f>
        <v>507688.8</v>
      </c>
      <c r="O310" s="242">
        <f t="shared" si="58"/>
        <v>507688.8</v>
      </c>
    </row>
    <row r="311" spans="1:16" s="231" customFormat="1" ht="25.5" x14ac:dyDescent="0.2">
      <c r="A311" s="59" t="s">
        <v>303</v>
      </c>
      <c r="B311" s="285" t="s">
        <v>299</v>
      </c>
      <c r="C311" s="285" t="s">
        <v>300</v>
      </c>
      <c r="D311" s="287"/>
      <c r="E311" s="287"/>
      <c r="F311" s="287"/>
      <c r="G311" s="286">
        <v>12.98</v>
      </c>
      <c r="H311" s="26">
        <f t="shared" si="57"/>
        <v>12.98</v>
      </c>
      <c r="I311" s="76"/>
      <c r="J311" s="230"/>
      <c r="K311" s="242"/>
      <c r="L311" s="242"/>
      <c r="M311" s="242">
        <f>F311*4.09*1000</f>
        <v>0</v>
      </c>
      <c r="N311" s="171">
        <f>G311*15.92*1000</f>
        <v>206641.6</v>
      </c>
      <c r="O311" s="242">
        <f t="shared" si="58"/>
        <v>206641.6</v>
      </c>
    </row>
    <row r="312" spans="1:16" s="4" customFormat="1" ht="38.25" x14ac:dyDescent="0.2">
      <c r="A312" s="22">
        <v>22</v>
      </c>
      <c r="B312" s="557" t="s">
        <v>84</v>
      </c>
      <c r="C312" s="557" t="s">
        <v>85</v>
      </c>
      <c r="D312" s="25"/>
      <c r="E312" s="25"/>
      <c r="F312" s="25"/>
      <c r="G312" s="24">
        <f>ROUND((29.43+35.23)/10.79,2)</f>
        <v>5.99</v>
      </c>
      <c r="H312" s="26">
        <f t="shared" si="57"/>
        <v>5.99</v>
      </c>
      <c r="I312" s="76"/>
      <c r="J312" s="2"/>
      <c r="K312" s="61"/>
      <c r="L312" s="61"/>
      <c r="M312" s="61"/>
      <c r="N312" s="171">
        <f>G312*10.79*1000</f>
        <v>64632.1</v>
      </c>
      <c r="O312" s="61">
        <f t="shared" si="58"/>
        <v>64632.1</v>
      </c>
      <c r="P312" s="58">
        <f>N312*1.02</f>
        <v>65924.741999999998</v>
      </c>
    </row>
    <row r="313" spans="1:16" s="4" customFormat="1" x14ac:dyDescent="0.2">
      <c r="A313" s="22">
        <v>23</v>
      </c>
      <c r="B313" s="557" t="s">
        <v>86</v>
      </c>
      <c r="C313" s="557" t="s">
        <v>87</v>
      </c>
      <c r="D313" s="25"/>
      <c r="E313" s="25"/>
      <c r="F313" s="25"/>
      <c r="G313" s="24">
        <v>53.69</v>
      </c>
      <c r="H313" s="26">
        <f t="shared" si="57"/>
        <v>53.69</v>
      </c>
      <c r="I313" s="76"/>
      <c r="J313" s="2"/>
      <c r="K313" s="61"/>
      <c r="L313" s="61"/>
      <c r="M313" s="61"/>
      <c r="N313" s="171">
        <f>G313*10.79*1000</f>
        <v>579315.1</v>
      </c>
      <c r="O313" s="61">
        <f t="shared" si="58"/>
        <v>579315.1</v>
      </c>
      <c r="P313" s="58">
        <f>N313*1.02</f>
        <v>590901.402</v>
      </c>
    </row>
    <row r="314" spans="1:16" s="4" customFormat="1" ht="25.5" x14ac:dyDescent="0.2">
      <c r="A314" s="22">
        <v>24</v>
      </c>
      <c r="B314" s="557" t="s">
        <v>88</v>
      </c>
      <c r="C314" s="557" t="s">
        <v>89</v>
      </c>
      <c r="D314" s="25"/>
      <c r="E314" s="25"/>
      <c r="F314" s="25"/>
      <c r="G314" s="24">
        <v>21220.01</v>
      </c>
      <c r="H314" s="26">
        <f t="shared" si="57"/>
        <v>21220.01</v>
      </c>
      <c r="I314" s="76"/>
      <c r="J314" s="2"/>
      <c r="K314" s="61"/>
      <c r="L314" s="61"/>
      <c r="M314" s="61"/>
      <c r="N314" s="171">
        <f>G314*10.79*1000</f>
        <v>228963907.90000001</v>
      </c>
      <c r="O314" s="61">
        <f t="shared" si="58"/>
        <v>228963907.90000001</v>
      </c>
      <c r="P314" s="58">
        <f>N314*1.02</f>
        <v>233543186.058</v>
      </c>
    </row>
    <row r="315" spans="1:16" s="4" customFormat="1" ht="25.5" x14ac:dyDescent="0.2">
      <c r="A315" s="22">
        <v>25</v>
      </c>
      <c r="B315" s="557" t="s">
        <v>90</v>
      </c>
      <c r="C315" s="557" t="s">
        <v>91</v>
      </c>
      <c r="D315" s="25">
        <v>826</v>
      </c>
      <c r="E315" s="25"/>
      <c r="F315" s="25"/>
      <c r="G315" s="24"/>
      <c r="H315" s="26">
        <f t="shared" si="57"/>
        <v>826</v>
      </c>
      <c r="I315" s="76"/>
      <c r="J315" s="71"/>
      <c r="K315" s="61">
        <f>D315*8.1*1000</f>
        <v>6690600</v>
      </c>
      <c r="L315" s="61"/>
      <c r="M315" s="61"/>
      <c r="N315" s="61"/>
      <c r="O315" s="61">
        <f t="shared" si="58"/>
        <v>6690600</v>
      </c>
    </row>
    <row r="316" spans="1:16" s="4" customFormat="1" ht="25.5" x14ac:dyDescent="0.2">
      <c r="A316" s="22">
        <v>26</v>
      </c>
      <c r="B316" s="557" t="s">
        <v>92</v>
      </c>
      <c r="C316" s="557" t="s">
        <v>93</v>
      </c>
      <c r="D316" s="25"/>
      <c r="E316" s="25"/>
      <c r="F316" s="25"/>
      <c r="G316" s="24">
        <f>ROUND(66107.75/1.2/10.79,2)</f>
        <v>5105.63</v>
      </c>
      <c r="H316" s="26">
        <f t="shared" si="57"/>
        <v>5105.63</v>
      </c>
      <c r="I316" s="76"/>
      <c r="J316" s="71"/>
      <c r="K316" s="61"/>
      <c r="L316" s="61"/>
      <c r="M316" s="61"/>
      <c r="N316" s="171">
        <f>G316*10.79*1000</f>
        <v>55089747.700000003</v>
      </c>
      <c r="O316" s="61">
        <f t="shared" si="58"/>
        <v>55089747.700000003</v>
      </c>
      <c r="P316" s="58">
        <f>N316*1.02</f>
        <v>56191542.653999999</v>
      </c>
    </row>
    <row r="317" spans="1:16" s="4" customFormat="1" x14ac:dyDescent="0.2">
      <c r="A317" s="22">
        <v>27</v>
      </c>
      <c r="B317" s="557" t="s">
        <v>94</v>
      </c>
      <c r="C317" s="557" t="s">
        <v>95</v>
      </c>
      <c r="D317" s="24">
        <v>560.85</v>
      </c>
      <c r="E317" s="25"/>
      <c r="F317" s="25"/>
      <c r="G317" s="25"/>
      <c r="H317" s="26">
        <f t="shared" si="57"/>
        <v>560.85</v>
      </c>
      <c r="I317" s="76"/>
      <c r="J317" s="71"/>
      <c r="K317" s="61">
        <f>D317*8.1*1000</f>
        <v>4542885</v>
      </c>
      <c r="L317" s="61"/>
      <c r="M317" s="61"/>
      <c r="N317" s="61"/>
      <c r="O317" s="61">
        <f t="shared" si="58"/>
        <v>4542885</v>
      </c>
    </row>
    <row r="318" spans="1:16" s="4" customFormat="1" ht="25.5" x14ac:dyDescent="0.2">
      <c r="A318" s="22">
        <v>28</v>
      </c>
      <c r="B318" s="557" t="s">
        <v>96</v>
      </c>
      <c r="C318" s="557" t="s">
        <v>97</v>
      </c>
      <c r="D318" s="25"/>
      <c r="E318" s="25"/>
      <c r="F318" s="25"/>
      <c r="G318" s="24">
        <f>ROUND(146.49/10.79,2)</f>
        <v>13.58</v>
      </c>
      <c r="H318" s="26">
        <f t="shared" si="57"/>
        <v>13.58</v>
      </c>
      <c r="I318" s="76"/>
      <c r="J318" s="2"/>
      <c r="K318" s="61"/>
      <c r="L318" s="61"/>
      <c r="M318" s="61"/>
      <c r="N318" s="171">
        <f>G318*10.79*1000</f>
        <v>146528.20000000001</v>
      </c>
      <c r="O318" s="61">
        <f t="shared" si="58"/>
        <v>146528.20000000001</v>
      </c>
      <c r="P318" s="58">
        <f>N318*1.02</f>
        <v>149458.764</v>
      </c>
    </row>
    <row r="319" spans="1:16" s="4" customFormat="1" ht="38.25" x14ac:dyDescent="0.2">
      <c r="A319" s="22">
        <v>29</v>
      </c>
      <c r="B319" s="557" t="s">
        <v>98</v>
      </c>
      <c r="C319" s="557" t="s">
        <v>99</v>
      </c>
      <c r="D319" s="25"/>
      <c r="E319" s="25"/>
      <c r="F319" s="25"/>
      <c r="G319" s="24">
        <f>ROUND(5743.64/4.35/1.266,2)</f>
        <v>1042.95</v>
      </c>
      <c r="H319" s="26">
        <f t="shared" si="57"/>
        <v>1042.95</v>
      </c>
      <c r="I319" s="76"/>
      <c r="J319" s="2"/>
      <c r="K319" s="61"/>
      <c r="L319" s="61"/>
      <c r="M319" s="61"/>
      <c r="N319" s="171">
        <f>G319*1.266*4.35*1000</f>
        <v>5743629.9500000002</v>
      </c>
      <c r="O319" s="61">
        <f t="shared" si="58"/>
        <v>5743629.9500000002</v>
      </c>
      <c r="P319" s="58">
        <f>N319*1.02</f>
        <v>5858502.5489999996</v>
      </c>
    </row>
    <row r="320" spans="1:16" s="4" customFormat="1" ht="21.75" customHeight="1" x14ac:dyDescent="0.2">
      <c r="A320" s="28"/>
      <c r="B320" s="673" t="s">
        <v>100</v>
      </c>
      <c r="C320" s="673"/>
      <c r="D320" s="24">
        <f>D303+D304+D308+D312+D313+D314+D315+D316+D317+D318+D319</f>
        <v>2289.83</v>
      </c>
      <c r="E320" s="24">
        <f>E303+E304+E308+E312+E313+E314+E315+E316+E317+E318+E319</f>
        <v>55.67</v>
      </c>
      <c r="F320" s="24">
        <f>F303+F304+F308+F312+F313+F314+F315+F316+F317+F318+F319</f>
        <v>0</v>
      </c>
      <c r="G320" s="24">
        <f>G303+G304+G308+G312+G313+G314+G315+G316+G317+G318+G319</f>
        <v>28241.99</v>
      </c>
      <c r="H320" s="26">
        <f t="shared" si="57"/>
        <v>30587.49</v>
      </c>
      <c r="I320" s="76"/>
      <c r="J320" s="2"/>
      <c r="K320" s="69">
        <f>K304+K308+K312+K313+K314+K315+K316+K317+K318+K319</f>
        <v>11233485</v>
      </c>
      <c r="L320" s="69">
        <f>SUM(L303:L319)</f>
        <v>0</v>
      </c>
      <c r="M320" s="69">
        <f>SUM(M303:M319)</f>
        <v>0</v>
      </c>
      <c r="N320" s="69">
        <f>N304+N308+N312+N313+N314+N315+N316+N317+N318+N319</f>
        <v>303325989.75</v>
      </c>
      <c r="O320" s="69">
        <f>O304+O308+O312+O313+O314+O315+O316+O317+O318+O319</f>
        <v>314559474.75</v>
      </c>
    </row>
    <row r="321" spans="1:16" s="4" customFormat="1" ht="18.75" customHeight="1" x14ac:dyDescent="0.2">
      <c r="A321" s="28"/>
      <c r="B321" s="673" t="s">
        <v>101</v>
      </c>
      <c r="C321" s="673"/>
      <c r="D321" s="24">
        <f>D320+D301</f>
        <v>92588.17</v>
      </c>
      <c r="E321" s="24">
        <f>E320+E301</f>
        <v>5622.91</v>
      </c>
      <c r="F321" s="24">
        <f>F320+F301</f>
        <v>14272.99</v>
      </c>
      <c r="G321" s="24">
        <f>G320+G301</f>
        <v>29702.35</v>
      </c>
      <c r="H321" s="26">
        <f>H320+H301</f>
        <v>142186.42000000001</v>
      </c>
      <c r="I321" s="76"/>
      <c r="J321" s="2"/>
      <c r="K321" s="69">
        <f>K320+K301</f>
        <v>744523264.40999997</v>
      </c>
      <c r="L321" s="69">
        <f>L320+L301</f>
        <v>45190919.789999999</v>
      </c>
      <c r="M321" s="72">
        <f>M320+M301</f>
        <v>58376529.100000001</v>
      </c>
      <c r="N321" s="69">
        <f>N320+N301</f>
        <v>311388043.51999998</v>
      </c>
      <c r="O321" s="69">
        <f>O320+O301</f>
        <v>1159478756.8199999</v>
      </c>
    </row>
    <row r="322" spans="1:16" s="4" customFormat="1" ht="18" customHeight="1" x14ac:dyDescent="0.2">
      <c r="A322" s="686" t="s">
        <v>102</v>
      </c>
      <c r="B322" s="687"/>
      <c r="C322" s="687"/>
      <c r="D322" s="687"/>
      <c r="E322" s="687"/>
      <c r="F322" s="687"/>
      <c r="G322" s="687"/>
      <c r="H322" s="688"/>
      <c r="I322" s="75"/>
      <c r="J322" s="2"/>
      <c r="K322" s="163"/>
      <c r="L322" s="163"/>
      <c r="M322" s="163"/>
      <c r="N322" s="163"/>
      <c r="O322" s="61"/>
    </row>
    <row r="323" spans="1:16" s="4" customFormat="1" ht="51" x14ac:dyDescent="0.25">
      <c r="A323" s="22">
        <v>30</v>
      </c>
      <c r="B323" s="557" t="s">
        <v>103</v>
      </c>
      <c r="C323" s="557" t="s">
        <v>104</v>
      </c>
      <c r="D323" s="25"/>
      <c r="E323" s="25"/>
      <c r="F323" s="25"/>
      <c r="G323" s="172">
        <f>ROUND((H321+H331)*0.0113,2)*0</f>
        <v>0</v>
      </c>
      <c r="H323" s="26">
        <f>G323</f>
        <v>0</v>
      </c>
      <c r="I323" s="76"/>
      <c r="J323" s="2"/>
      <c r="K323" s="163"/>
      <c r="L323" s="163"/>
      <c r="M323" s="163"/>
      <c r="N323" s="165">
        <f>G323*10.79*1000</f>
        <v>0</v>
      </c>
      <c r="O323" s="61">
        <f>SUM(K323:N323)</f>
        <v>0</v>
      </c>
      <c r="P323" s="58">
        <f>N323*1.02</f>
        <v>0</v>
      </c>
    </row>
    <row r="324" spans="1:16" s="4" customFormat="1" ht="27.95" customHeight="1" x14ac:dyDescent="0.2">
      <c r="A324" s="28"/>
      <c r="B324" s="673" t="s">
        <v>105</v>
      </c>
      <c r="C324" s="673"/>
      <c r="D324" s="25"/>
      <c r="E324" s="25"/>
      <c r="F324" s="25"/>
      <c r="G324" s="32">
        <f>G323</f>
        <v>0</v>
      </c>
      <c r="H324" s="57">
        <f>H323</f>
        <v>0</v>
      </c>
      <c r="I324" s="76"/>
      <c r="J324" s="2"/>
      <c r="K324" s="164">
        <f>K323</f>
        <v>0</v>
      </c>
      <c r="L324" s="164">
        <f>L323</f>
        <v>0</v>
      </c>
      <c r="M324" s="164">
        <f>M323</f>
        <v>0</v>
      </c>
      <c r="N324" s="164">
        <f>N323</f>
        <v>0</v>
      </c>
      <c r="O324" s="69">
        <f>SUM(K324:N324)</f>
        <v>0</v>
      </c>
    </row>
    <row r="325" spans="1:16" s="4" customFormat="1" ht="12.75" customHeight="1" x14ac:dyDescent="0.2">
      <c r="A325" s="686" t="s">
        <v>106</v>
      </c>
      <c r="B325" s="687"/>
      <c r="C325" s="687"/>
      <c r="D325" s="687"/>
      <c r="E325" s="687"/>
      <c r="F325" s="687"/>
      <c r="G325" s="687"/>
      <c r="H325" s="688"/>
      <c r="I325" s="75"/>
      <c r="J325" s="2"/>
      <c r="K325" s="163"/>
      <c r="L325" s="163"/>
      <c r="M325" s="163"/>
      <c r="N325" s="163"/>
      <c r="O325" s="61"/>
    </row>
    <row r="326" spans="1:16" s="4" customFormat="1" ht="25.5" x14ac:dyDescent="0.2">
      <c r="A326" s="22">
        <v>31</v>
      </c>
      <c r="B326" s="557" t="s">
        <v>107</v>
      </c>
      <c r="C326" s="557" t="s">
        <v>108</v>
      </c>
      <c r="D326" s="25"/>
      <c r="E326" s="25"/>
      <c r="F326" s="25"/>
      <c r="G326" s="172">
        <f>6294.14*0</f>
        <v>0</v>
      </c>
      <c r="H326" s="26">
        <f t="shared" ref="H326:H331" si="59">G326</f>
        <v>0</v>
      </c>
      <c r="I326" s="76"/>
      <c r="J326" s="2"/>
      <c r="K326" s="61"/>
      <c r="L326" s="61"/>
      <c r="M326" s="61"/>
      <c r="N326" s="162">
        <f>G326*4.35*1.266*1000</f>
        <v>0</v>
      </c>
      <c r="O326" s="61">
        <f t="shared" ref="O326:O331" si="60">SUM(K326:N326)</f>
        <v>0</v>
      </c>
      <c r="P326" s="58">
        <f>N326*1.02</f>
        <v>0</v>
      </c>
    </row>
    <row r="327" spans="1:16" s="4" customFormat="1" ht="25.5" x14ac:dyDescent="0.2">
      <c r="A327" s="22">
        <v>32</v>
      </c>
      <c r="B327" s="557" t="s">
        <v>107</v>
      </c>
      <c r="C327" s="557" t="s">
        <v>109</v>
      </c>
      <c r="D327" s="25"/>
      <c r="E327" s="25"/>
      <c r="F327" s="25"/>
      <c r="G327" s="172">
        <f>10028.32*0</f>
        <v>0</v>
      </c>
      <c r="H327" s="26">
        <f t="shared" si="59"/>
        <v>0</v>
      </c>
      <c r="I327" s="76">
        <f>G327*4.27*1.19*1.02*1.2</f>
        <v>0</v>
      </c>
      <c r="J327" s="2"/>
      <c r="K327" s="61"/>
      <c r="L327" s="61"/>
      <c r="M327" s="61"/>
      <c r="N327" s="162">
        <f>G327*4.27*1.19*1000</f>
        <v>0</v>
      </c>
      <c r="O327" s="61">
        <f t="shared" si="60"/>
        <v>0</v>
      </c>
      <c r="P327" s="58">
        <f>N327*1.02</f>
        <v>0</v>
      </c>
    </row>
    <row r="328" spans="1:16" s="4" customFormat="1" ht="28.5" customHeight="1" x14ac:dyDescent="0.2">
      <c r="A328" s="22">
        <v>33</v>
      </c>
      <c r="B328" s="557" t="s">
        <v>107</v>
      </c>
      <c r="C328" s="557" t="s">
        <v>110</v>
      </c>
      <c r="D328" s="25"/>
      <c r="E328" s="25"/>
      <c r="F328" s="25"/>
      <c r="G328" s="24">
        <v>12526.27</v>
      </c>
      <c r="H328" s="26">
        <f t="shared" si="59"/>
        <v>12526.27</v>
      </c>
      <c r="I328" s="76"/>
      <c r="J328" s="2"/>
      <c r="K328" s="61"/>
      <c r="L328" s="61"/>
      <c r="M328" s="61"/>
      <c r="N328" s="61">
        <f>G328*4.27*1.19*1000</f>
        <v>63649735.75</v>
      </c>
      <c r="O328" s="61">
        <f t="shared" si="60"/>
        <v>63649735.75</v>
      </c>
      <c r="P328" s="58">
        <f>N328*1.02</f>
        <v>64922730.465000004</v>
      </c>
    </row>
    <row r="329" spans="1:16" s="4" customFormat="1" ht="25.5" x14ac:dyDescent="0.2">
      <c r="A329" s="22">
        <v>34</v>
      </c>
      <c r="B329" s="557" t="s">
        <v>111</v>
      </c>
      <c r="C329" s="557" t="s">
        <v>112</v>
      </c>
      <c r="D329" s="25"/>
      <c r="E329" s="25"/>
      <c r="F329" s="25"/>
      <c r="G329" s="172">
        <f>674.12*0</f>
        <v>0</v>
      </c>
      <c r="H329" s="26">
        <f t="shared" si="59"/>
        <v>0</v>
      </c>
      <c r="I329" s="76"/>
      <c r="J329" s="2"/>
      <c r="K329" s="61"/>
      <c r="L329" s="61"/>
      <c r="M329" s="61"/>
      <c r="N329" s="162">
        <f>G329*5.29*1000</f>
        <v>0</v>
      </c>
      <c r="O329" s="61">
        <f t="shared" si="60"/>
        <v>0</v>
      </c>
      <c r="P329" s="58">
        <f>N329*1.02</f>
        <v>0</v>
      </c>
    </row>
    <row r="330" spans="1:16" s="4" customFormat="1" ht="89.25" x14ac:dyDescent="0.2">
      <c r="A330" s="22">
        <v>35</v>
      </c>
      <c r="B330" s="557" t="s">
        <v>113</v>
      </c>
      <c r="C330" s="557" t="s">
        <v>114</v>
      </c>
      <c r="D330" s="25"/>
      <c r="E330" s="25"/>
      <c r="F330" s="25"/>
      <c r="G330" s="172">
        <f>ROUND((G326+G327)*0.58%,2)</f>
        <v>0</v>
      </c>
      <c r="H330" s="26">
        <f t="shared" si="59"/>
        <v>0</v>
      </c>
      <c r="I330" s="76"/>
      <c r="J330" s="2"/>
      <c r="K330" s="61"/>
      <c r="L330" s="61"/>
      <c r="M330" s="61"/>
      <c r="N330" s="162">
        <f>(N326+N327)*0.58%</f>
        <v>0</v>
      </c>
      <c r="O330" s="61">
        <f t="shared" si="60"/>
        <v>0</v>
      </c>
      <c r="P330" s="58">
        <f>N330*1.02</f>
        <v>0</v>
      </c>
    </row>
    <row r="331" spans="1:16" s="4" customFormat="1" ht="140.1" customHeight="1" x14ac:dyDescent="0.2">
      <c r="A331" s="28"/>
      <c r="B331" s="673" t="s">
        <v>115</v>
      </c>
      <c r="C331" s="673"/>
      <c r="D331" s="25"/>
      <c r="E331" s="25"/>
      <c r="F331" s="25"/>
      <c r="G331" s="24">
        <f>SUM(G326:G330)</f>
        <v>12526.27</v>
      </c>
      <c r="H331" s="26">
        <f t="shared" si="59"/>
        <v>12526.27</v>
      </c>
      <c r="I331" s="76"/>
      <c r="J331" s="2"/>
      <c r="K331" s="61">
        <f>SUM(K326:K330)</f>
        <v>0</v>
      </c>
      <c r="L331" s="61">
        <f>SUM(L326:L330)</f>
        <v>0</v>
      </c>
      <c r="M331" s="61">
        <f>SUM(M326:M330)</f>
        <v>0</v>
      </c>
      <c r="N331" s="61">
        <f>SUM(N326:N330)</f>
        <v>63649735.75</v>
      </c>
      <c r="O331" s="61">
        <f t="shared" si="60"/>
        <v>63649735.75</v>
      </c>
    </row>
    <row r="332" spans="1:16" s="58" customFormat="1" ht="26.25" customHeight="1" x14ac:dyDescent="0.2">
      <c r="A332" s="63"/>
      <c r="B332" s="673" t="s">
        <v>116</v>
      </c>
      <c r="C332" s="673"/>
      <c r="D332" s="32">
        <f>D331+D324+D321</f>
        <v>92588.17</v>
      </c>
      <c r="E332" s="32">
        <f>E331+E324+E321</f>
        <v>5622.91</v>
      </c>
      <c r="F332" s="32">
        <f>F331+F324+F321</f>
        <v>14272.99</v>
      </c>
      <c r="G332" s="32">
        <f>G331+G324+G321</f>
        <v>42228.62</v>
      </c>
      <c r="H332" s="57">
        <f>H331+H324+H321</f>
        <v>154712.69</v>
      </c>
      <c r="I332" s="77"/>
      <c r="J332" s="12"/>
      <c r="K332" s="69">
        <f>K321+K331</f>
        <v>744523264.40999997</v>
      </c>
      <c r="L332" s="69">
        <f>L321+L331</f>
        <v>45190919.789999999</v>
      </c>
      <c r="M332" s="69">
        <f>M321+M331</f>
        <v>58376529.100000001</v>
      </c>
      <c r="N332" s="69">
        <f>N321+N324+N331</f>
        <v>375037779.26999998</v>
      </c>
      <c r="O332" s="69">
        <f>O321+O331</f>
        <v>1223128492.5699999</v>
      </c>
    </row>
    <row r="333" spans="1:16" s="4" customFormat="1" ht="12.75" customHeight="1" x14ac:dyDescent="0.2">
      <c r="A333" s="686" t="s">
        <v>117</v>
      </c>
      <c r="B333" s="687"/>
      <c r="C333" s="687"/>
      <c r="D333" s="687"/>
      <c r="E333" s="687"/>
      <c r="F333" s="687"/>
      <c r="G333" s="687"/>
      <c r="H333" s="688"/>
      <c r="I333" s="75"/>
      <c r="J333" s="2"/>
      <c r="K333" s="61"/>
      <c r="L333" s="61"/>
      <c r="M333" s="61"/>
      <c r="N333" s="61"/>
      <c r="O333" s="61"/>
    </row>
    <row r="334" spans="1:16" s="4" customFormat="1" ht="30" customHeight="1" x14ac:dyDescent="0.2">
      <c r="A334" s="22">
        <v>36</v>
      </c>
      <c r="B334" s="557" t="s">
        <v>118</v>
      </c>
      <c r="C334" s="557" t="s">
        <v>119</v>
      </c>
      <c r="D334" s="24">
        <f>ROUND(D332*0.02,2)</f>
        <v>1851.76</v>
      </c>
      <c r="E334" s="24">
        <f>ROUND(E332*0.02,2)</f>
        <v>112.46</v>
      </c>
      <c r="F334" s="24">
        <f>ROUND(F332*0.02,2)</f>
        <v>285.45999999999998</v>
      </c>
      <c r="G334" s="24">
        <f>ROUND(G332*0.02,2)</f>
        <v>844.57</v>
      </c>
      <c r="H334" s="26">
        <f>D334+E334+F334+G334</f>
        <v>3094.25</v>
      </c>
      <c r="I334" s="76"/>
      <c r="J334" s="2"/>
      <c r="K334" s="61">
        <f>(K332+K406)*2%</f>
        <v>14939593.09</v>
      </c>
      <c r="L334" s="61">
        <f>(L332+L406)*2%</f>
        <v>906846</v>
      </c>
      <c r="M334" s="61">
        <f>M332*2%</f>
        <v>1167530.58</v>
      </c>
      <c r="N334" s="61">
        <f>N332*2%</f>
        <v>7500755.5899999999</v>
      </c>
      <c r="O334" s="61">
        <f>SUM(K334:N334)</f>
        <v>24514725.260000002</v>
      </c>
    </row>
    <row r="335" spans="1:16" s="4" customFormat="1" ht="12.75" customHeight="1" x14ac:dyDescent="0.2">
      <c r="A335" s="28"/>
      <c r="B335" s="673" t="s">
        <v>120</v>
      </c>
      <c r="C335" s="673"/>
      <c r="D335" s="24">
        <f>D334</f>
        <v>1851.76</v>
      </c>
      <c r="E335" s="24">
        <f>E334</f>
        <v>112.46</v>
      </c>
      <c r="F335" s="24">
        <f>F334</f>
        <v>285.45999999999998</v>
      </c>
      <c r="G335" s="24">
        <f>G334</f>
        <v>844.57</v>
      </c>
      <c r="H335" s="26">
        <f>H334</f>
        <v>3094.25</v>
      </c>
      <c r="I335" s="76"/>
      <c r="J335" s="2"/>
      <c r="K335" s="61"/>
      <c r="L335" s="61"/>
      <c r="M335" s="61"/>
      <c r="N335" s="61"/>
      <c r="O335" s="61"/>
    </row>
    <row r="336" spans="1:16" s="4" customFormat="1" ht="33.75" customHeight="1" x14ac:dyDescent="0.2">
      <c r="A336" s="28"/>
      <c r="B336" s="673" t="s">
        <v>121</v>
      </c>
      <c r="C336" s="673"/>
      <c r="D336" s="24">
        <f>D335+D332</f>
        <v>94439.93</v>
      </c>
      <c r="E336" s="24">
        <f>E335+E332</f>
        <v>5735.37</v>
      </c>
      <c r="F336" s="24">
        <f>F335+F332</f>
        <v>14558.45</v>
      </c>
      <c r="G336" s="24">
        <f>G335+G332</f>
        <v>43073.19</v>
      </c>
      <c r="H336" s="26">
        <f>H335+H332</f>
        <v>157806.94</v>
      </c>
      <c r="I336" s="76"/>
      <c r="J336" s="2"/>
      <c r="K336" s="428">
        <f>K332+K334</f>
        <v>759462857.5</v>
      </c>
      <c r="L336" s="428">
        <f>L332+L334</f>
        <v>46097765.789999999</v>
      </c>
      <c r="M336" s="428">
        <f>M332+M334</f>
        <v>59544059.68</v>
      </c>
      <c r="N336" s="428">
        <f>N332+N334</f>
        <v>382538534.86000001</v>
      </c>
      <c r="O336" s="428">
        <f>O332+O334</f>
        <v>1247643217.8299999</v>
      </c>
    </row>
    <row r="337" spans="1:15" s="4" customFormat="1" ht="27.75" customHeight="1" x14ac:dyDescent="0.2">
      <c r="A337" s="28"/>
      <c r="B337" s="673" t="s">
        <v>122</v>
      </c>
      <c r="C337" s="673"/>
      <c r="D337" s="32">
        <f>D336</f>
        <v>94439.93</v>
      </c>
      <c r="E337" s="32">
        <f>E336</f>
        <v>5735.37</v>
      </c>
      <c r="F337" s="32">
        <f>F336</f>
        <v>14558.45</v>
      </c>
      <c r="G337" s="32">
        <f>G336</f>
        <v>43073.19</v>
      </c>
      <c r="H337" s="32">
        <f>H336</f>
        <v>157806.94</v>
      </c>
      <c r="I337" s="77"/>
      <c r="J337" s="2"/>
      <c r="K337" s="61"/>
      <c r="L337" s="61"/>
      <c r="M337" s="61"/>
      <c r="N337" s="61"/>
      <c r="O337" s="61"/>
    </row>
    <row r="338" spans="1:15" s="4" customFormat="1" ht="26.25" customHeight="1" thickBot="1" x14ac:dyDescent="0.25">
      <c r="A338" s="33"/>
      <c r="B338" s="34" t="s">
        <v>123</v>
      </c>
      <c r="C338" s="35" t="s">
        <v>124</v>
      </c>
      <c r="D338" s="36">
        <f>ROUND(D299*15%,2)</f>
        <v>304.52999999999997</v>
      </c>
      <c r="E338" s="36">
        <f>ROUND(E299*15%,2)</f>
        <v>18.78</v>
      </c>
      <c r="F338" s="37"/>
      <c r="G338" s="37"/>
      <c r="H338" s="38">
        <f>D338+E338+F338+G338</f>
        <v>323.31</v>
      </c>
      <c r="I338" s="78"/>
      <c r="J338" s="2"/>
      <c r="K338" s="69"/>
      <c r="L338" s="69"/>
      <c r="M338" s="69"/>
      <c r="N338" s="69"/>
      <c r="O338" s="69"/>
    </row>
    <row r="339" spans="1:15" s="4" customFormat="1" ht="12.75" hidden="1" customHeight="1" x14ac:dyDescent="0.2">
      <c r="A339" s="702" t="s">
        <v>125</v>
      </c>
      <c r="B339" s="702"/>
      <c r="C339" s="702"/>
      <c r="D339" s="702"/>
      <c r="E339" s="702"/>
      <c r="F339" s="702"/>
      <c r="G339" s="702"/>
      <c r="H339" s="702"/>
      <c r="I339" s="75"/>
      <c r="J339" s="2"/>
      <c r="K339" s="61"/>
      <c r="L339" s="61"/>
      <c r="M339" s="61"/>
      <c r="N339" s="61"/>
      <c r="O339" s="61"/>
    </row>
    <row r="340" spans="1:15" s="4" customFormat="1" hidden="1" x14ac:dyDescent="0.2">
      <c r="A340" s="39"/>
      <c r="B340" s="40"/>
      <c r="C340" s="41"/>
      <c r="D340" s="29"/>
      <c r="E340" s="29"/>
      <c r="F340" s="30"/>
      <c r="G340" s="30"/>
      <c r="H340" s="30"/>
      <c r="I340" s="79"/>
      <c r="J340" s="2"/>
      <c r="K340" s="61"/>
      <c r="L340" s="61"/>
      <c r="M340" s="61"/>
      <c r="N340" s="61"/>
      <c r="O340" s="61"/>
    </row>
    <row r="341" spans="1:15" s="4" customFormat="1" hidden="1" x14ac:dyDescent="0.2">
      <c r="A341" s="39"/>
      <c r="B341" s="555"/>
      <c r="C341" s="43" t="s">
        <v>126</v>
      </c>
      <c r="D341" s="44"/>
      <c r="E341" s="44"/>
      <c r="F341" s="30"/>
      <c r="G341" s="45">
        <f>G340</f>
        <v>0</v>
      </c>
      <c r="H341" s="45">
        <f>H340</f>
        <v>0</v>
      </c>
      <c r="I341" s="80"/>
      <c r="J341" s="2"/>
      <c r="K341" s="61"/>
      <c r="L341" s="61"/>
      <c r="M341" s="61"/>
      <c r="N341" s="61"/>
      <c r="O341" s="61"/>
    </row>
    <row r="342" spans="1:15" s="4" customFormat="1" x14ac:dyDescent="0.2">
      <c r="A342" s="39">
        <v>37</v>
      </c>
      <c r="B342" s="555"/>
      <c r="C342" s="46" t="s">
        <v>127</v>
      </c>
      <c r="D342" s="24">
        <f>ROUND((D39+D234+D253+D294+D297+D303)*1.02,2)</f>
        <v>91835.64</v>
      </c>
      <c r="E342" s="24">
        <f>ROUND((E39+E234+E253+E294+E297+E303)*1.02,2)</f>
        <v>5654.33</v>
      </c>
      <c r="F342" s="25"/>
      <c r="G342" s="25"/>
      <c r="H342" s="25">
        <f t="shared" ref="H342:H363" si="61">D342+E342+F342+G342</f>
        <v>97489.97</v>
      </c>
      <c r="I342" s="78"/>
      <c r="J342" s="2"/>
      <c r="K342" s="61"/>
      <c r="L342" s="61"/>
      <c r="M342" s="61"/>
      <c r="N342" s="61"/>
      <c r="O342" s="61"/>
    </row>
    <row r="343" spans="1:15" s="4" customFormat="1" ht="25.5" x14ac:dyDescent="0.2">
      <c r="A343" s="39">
        <v>38</v>
      </c>
      <c r="B343" s="555"/>
      <c r="C343" s="46" t="s">
        <v>128</v>
      </c>
      <c r="D343" s="24">
        <f>ROUND(D236*1.02,2)</f>
        <v>1189.71</v>
      </c>
      <c r="E343" s="24">
        <f>ROUND(E236*1.02,2)</f>
        <v>81.040000000000006</v>
      </c>
      <c r="F343" s="25"/>
      <c r="G343" s="25"/>
      <c r="H343" s="25">
        <f t="shared" si="61"/>
        <v>1270.75</v>
      </c>
      <c r="I343" s="78"/>
      <c r="J343" s="2"/>
      <c r="K343" s="61"/>
      <c r="L343" s="61"/>
      <c r="M343" s="61"/>
      <c r="N343" s="61"/>
      <c r="O343" s="61"/>
    </row>
    <row r="344" spans="1:15" s="4" customFormat="1" ht="25.5" x14ac:dyDescent="0.2">
      <c r="A344" s="39">
        <v>39</v>
      </c>
      <c r="B344" s="555"/>
      <c r="C344" s="46" t="s">
        <v>129</v>
      </c>
      <c r="D344" s="24">
        <f>ROUND(D255*1.02,2)</f>
        <v>0</v>
      </c>
      <c r="E344" s="24">
        <f>ROUND(E255*1.02,2)</f>
        <v>0</v>
      </c>
      <c r="F344" s="25"/>
      <c r="G344" s="25"/>
      <c r="H344" s="25">
        <f t="shared" si="61"/>
        <v>0</v>
      </c>
      <c r="I344" s="78"/>
      <c r="J344" s="2"/>
      <c r="K344" s="61"/>
      <c r="L344" s="61"/>
      <c r="M344" s="61"/>
      <c r="N344" s="61"/>
      <c r="O344" s="61"/>
    </row>
    <row r="345" spans="1:15" s="4" customFormat="1" ht="25.5" x14ac:dyDescent="0.2">
      <c r="A345" s="39">
        <v>40</v>
      </c>
      <c r="B345" s="555"/>
      <c r="C345" s="46" t="s">
        <v>130</v>
      </c>
      <c r="D345" s="24">
        <f>ROUND(D261*1.02,2)</f>
        <v>0</v>
      </c>
      <c r="E345" s="24">
        <f>ROUND(E261*1.02,2)</f>
        <v>0</v>
      </c>
      <c r="F345" s="25"/>
      <c r="G345" s="25"/>
      <c r="H345" s="25">
        <f t="shared" si="61"/>
        <v>0</v>
      </c>
      <c r="I345" s="78"/>
      <c r="J345" s="2"/>
      <c r="K345" s="61"/>
      <c r="L345" s="61"/>
      <c r="M345" s="61"/>
      <c r="N345" s="61"/>
      <c r="O345" s="61"/>
    </row>
    <row r="346" spans="1:15" s="4" customFormat="1" x14ac:dyDescent="0.2">
      <c r="A346" s="39">
        <v>41</v>
      </c>
      <c r="B346" s="555"/>
      <c r="C346" s="46" t="s">
        <v>131</v>
      </c>
      <c r="D346" s="24">
        <f>ROUND(D268*1.02,2)</f>
        <v>0</v>
      </c>
      <c r="E346" s="24"/>
      <c r="F346" s="25"/>
      <c r="G346" s="25"/>
      <c r="H346" s="25">
        <f t="shared" si="61"/>
        <v>0</v>
      </c>
      <c r="I346" s="78"/>
      <c r="J346" s="2"/>
      <c r="K346" s="61"/>
      <c r="L346" s="61"/>
      <c r="M346" s="61"/>
      <c r="N346" s="61"/>
      <c r="O346" s="61"/>
    </row>
    <row r="347" spans="1:15" s="4" customFormat="1" x14ac:dyDescent="0.2">
      <c r="A347" s="39">
        <v>42</v>
      </c>
      <c r="B347" s="555"/>
      <c r="C347" s="46" t="s">
        <v>132</v>
      </c>
      <c r="D347" s="24"/>
      <c r="E347" s="24"/>
      <c r="F347" s="25">
        <f>ROUND(F332*1.02,2)</f>
        <v>14558.45</v>
      </c>
      <c r="G347" s="25"/>
      <c r="H347" s="25">
        <f t="shared" si="61"/>
        <v>14558.45</v>
      </c>
      <c r="I347" s="78"/>
      <c r="J347" s="2"/>
      <c r="K347" s="61"/>
      <c r="L347" s="61"/>
      <c r="M347" s="61"/>
      <c r="N347" s="61"/>
      <c r="O347" s="61"/>
    </row>
    <row r="348" spans="1:15" s="4" customFormat="1" hidden="1" x14ac:dyDescent="0.2">
      <c r="A348" s="39">
        <v>45</v>
      </c>
      <c r="B348" s="555"/>
      <c r="C348" s="43" t="s">
        <v>133</v>
      </c>
      <c r="D348" s="32"/>
      <c r="E348" s="32"/>
      <c r="F348" s="47"/>
      <c r="G348" s="47">
        <f>ROUND((G304+G308)*1.02,2)</f>
        <v>816.14</v>
      </c>
      <c r="H348" s="47">
        <f t="shared" si="61"/>
        <v>816.14</v>
      </c>
      <c r="I348" s="81"/>
      <c r="J348" s="2"/>
      <c r="K348" s="61"/>
      <c r="L348" s="61"/>
      <c r="M348" s="61"/>
      <c r="N348" s="61"/>
      <c r="O348" s="61"/>
    </row>
    <row r="349" spans="1:15" s="4" customFormat="1" hidden="1" x14ac:dyDescent="0.2">
      <c r="A349" s="39">
        <v>46</v>
      </c>
      <c r="B349" s="555"/>
      <c r="C349" s="43" t="s">
        <v>134</v>
      </c>
      <c r="D349" s="32"/>
      <c r="E349" s="32"/>
      <c r="F349" s="47"/>
      <c r="G349" s="47">
        <f>ROUND(G37*1.02,2)</f>
        <v>1485.76</v>
      </c>
      <c r="H349" s="47">
        <f t="shared" si="61"/>
        <v>1485.76</v>
      </c>
      <c r="I349" s="81"/>
      <c r="J349" s="2"/>
      <c r="K349" s="61"/>
      <c r="L349" s="61"/>
      <c r="M349" s="61"/>
      <c r="N349" s="61"/>
      <c r="O349" s="61"/>
    </row>
    <row r="350" spans="1:15" s="4" customFormat="1" hidden="1" x14ac:dyDescent="0.2">
      <c r="A350" s="39">
        <v>47</v>
      </c>
      <c r="B350" s="555"/>
      <c r="C350" s="43" t="s">
        <v>135</v>
      </c>
      <c r="D350" s="32"/>
      <c r="E350" s="32"/>
      <c r="F350" s="47"/>
      <c r="G350" s="47">
        <f>ROUND(G38*1.02,2)</f>
        <v>3.8</v>
      </c>
      <c r="H350" s="47">
        <f t="shared" si="61"/>
        <v>3.8</v>
      </c>
      <c r="I350" s="81"/>
      <c r="J350" s="2"/>
      <c r="K350" s="61"/>
      <c r="L350" s="61"/>
      <c r="M350" s="61"/>
      <c r="N350" s="61"/>
      <c r="O350" s="61"/>
    </row>
    <row r="351" spans="1:15" s="4" customFormat="1" hidden="1" x14ac:dyDescent="0.2">
      <c r="A351" s="39">
        <v>48</v>
      </c>
      <c r="B351" s="555"/>
      <c r="C351" s="43" t="s">
        <v>136</v>
      </c>
      <c r="D351" s="32"/>
      <c r="E351" s="32"/>
      <c r="F351" s="47"/>
      <c r="G351" s="47">
        <f>ROUND(G312*1.02,2)</f>
        <v>6.11</v>
      </c>
      <c r="H351" s="47">
        <f t="shared" si="61"/>
        <v>6.11</v>
      </c>
      <c r="I351" s="81"/>
      <c r="J351" s="2"/>
      <c r="K351" s="61"/>
      <c r="L351" s="61"/>
      <c r="M351" s="61"/>
      <c r="N351" s="61"/>
      <c r="O351" s="61"/>
    </row>
    <row r="352" spans="1:15" s="4" customFormat="1" ht="25.5" hidden="1" x14ac:dyDescent="0.2">
      <c r="A352" s="39">
        <v>49</v>
      </c>
      <c r="B352" s="555"/>
      <c r="C352" s="43" t="s">
        <v>87</v>
      </c>
      <c r="D352" s="32"/>
      <c r="E352" s="32"/>
      <c r="F352" s="47"/>
      <c r="G352" s="47">
        <f>ROUND(G313*1.02,2)</f>
        <v>54.76</v>
      </c>
      <c r="H352" s="47">
        <f t="shared" si="61"/>
        <v>54.76</v>
      </c>
      <c r="I352" s="81"/>
      <c r="J352" s="2"/>
      <c r="K352" s="61"/>
      <c r="L352" s="61"/>
      <c r="M352" s="61"/>
      <c r="N352" s="61"/>
      <c r="O352" s="61"/>
    </row>
    <row r="353" spans="1:15" s="4" customFormat="1" hidden="1" x14ac:dyDescent="0.2">
      <c r="A353" s="39">
        <v>50</v>
      </c>
      <c r="B353" s="555"/>
      <c r="C353" s="43" t="s">
        <v>137</v>
      </c>
      <c r="D353" s="32"/>
      <c r="E353" s="32"/>
      <c r="F353" s="47"/>
      <c r="G353" s="47">
        <f>ROUND(G314*1.02,2)</f>
        <v>21644.41</v>
      </c>
      <c r="H353" s="47">
        <f t="shared" si="61"/>
        <v>21644.41</v>
      </c>
      <c r="I353" s="81"/>
      <c r="J353" s="2"/>
      <c r="K353" s="61"/>
      <c r="L353" s="61"/>
      <c r="M353" s="61"/>
      <c r="N353" s="61"/>
      <c r="O353" s="61"/>
    </row>
    <row r="354" spans="1:15" s="4" customFormat="1" hidden="1" x14ac:dyDescent="0.2">
      <c r="A354" s="39">
        <v>51</v>
      </c>
      <c r="B354" s="555"/>
      <c r="C354" s="43" t="s">
        <v>138</v>
      </c>
      <c r="D354" s="47">
        <f>ROUND(D315*1.02,2)</f>
        <v>842.52</v>
      </c>
      <c r="E354" s="32"/>
      <c r="F354" s="47"/>
      <c r="G354" s="48"/>
      <c r="H354" s="47">
        <f t="shared" si="61"/>
        <v>842.52</v>
      </c>
      <c r="I354" s="81"/>
      <c r="J354" s="2"/>
      <c r="K354" s="61"/>
      <c r="L354" s="61"/>
      <c r="M354" s="61"/>
      <c r="N354" s="61"/>
      <c r="O354" s="61"/>
    </row>
    <row r="355" spans="1:15" s="4" customFormat="1" hidden="1" x14ac:dyDescent="0.2">
      <c r="A355" s="39"/>
      <c r="B355" s="555"/>
      <c r="C355" s="43" t="s">
        <v>95</v>
      </c>
      <c r="D355" s="47">
        <f>ROUND(D317*1.02,2)</f>
        <v>572.07000000000005</v>
      </c>
      <c r="E355" s="32"/>
      <c r="F355" s="47"/>
      <c r="G355" s="25"/>
      <c r="H355" s="47">
        <f t="shared" si="61"/>
        <v>572.07000000000005</v>
      </c>
      <c r="I355" s="81"/>
      <c r="J355" s="2"/>
      <c r="K355" s="61"/>
      <c r="L355" s="61"/>
      <c r="M355" s="61"/>
      <c r="N355" s="61"/>
      <c r="O355" s="61"/>
    </row>
    <row r="356" spans="1:15" s="4" customFormat="1" hidden="1" x14ac:dyDescent="0.2">
      <c r="A356" s="39">
        <v>52</v>
      </c>
      <c r="B356" s="555"/>
      <c r="C356" s="43" t="s">
        <v>139</v>
      </c>
      <c r="D356" s="32"/>
      <c r="E356" s="32"/>
      <c r="F356" s="47"/>
      <c r="G356" s="47">
        <f>ROUND(G316*1.02,2)</f>
        <v>5207.74</v>
      </c>
      <c r="H356" s="47">
        <f t="shared" si="61"/>
        <v>5207.74</v>
      </c>
      <c r="I356" s="81"/>
      <c r="J356" s="2"/>
      <c r="K356" s="61"/>
      <c r="L356" s="61"/>
      <c r="M356" s="61"/>
      <c r="N356" s="61"/>
      <c r="O356" s="61"/>
    </row>
    <row r="357" spans="1:15" s="4" customFormat="1" ht="25.5" hidden="1" x14ac:dyDescent="0.2">
      <c r="A357" s="39">
        <v>53</v>
      </c>
      <c r="B357" s="555"/>
      <c r="C357" s="43" t="s">
        <v>140</v>
      </c>
      <c r="D357" s="32"/>
      <c r="E357" s="32"/>
      <c r="F357" s="47"/>
      <c r="G357" s="47">
        <f>ROUND(G318*1.02,2)</f>
        <v>13.85</v>
      </c>
      <c r="H357" s="47">
        <f t="shared" si="61"/>
        <v>13.85</v>
      </c>
      <c r="I357" s="81"/>
      <c r="J357" s="2"/>
      <c r="K357" s="61"/>
      <c r="L357" s="61"/>
      <c r="M357" s="61"/>
      <c r="N357" s="61"/>
      <c r="O357" s="61"/>
    </row>
    <row r="358" spans="1:15" s="4" customFormat="1" hidden="1" x14ac:dyDescent="0.2">
      <c r="A358" s="39">
        <v>54</v>
      </c>
      <c r="B358" s="555"/>
      <c r="C358" s="43" t="s">
        <v>141</v>
      </c>
      <c r="D358" s="32"/>
      <c r="E358" s="32"/>
      <c r="F358" s="47"/>
      <c r="G358" s="47">
        <f>ROUND(G319*1.02,2)</f>
        <v>1063.81</v>
      </c>
      <c r="H358" s="47">
        <f t="shared" si="61"/>
        <v>1063.81</v>
      </c>
      <c r="I358" s="81"/>
      <c r="J358" s="2"/>
      <c r="K358" s="61"/>
      <c r="L358" s="61"/>
      <c r="M358" s="61"/>
      <c r="N358" s="61"/>
      <c r="O358" s="61"/>
    </row>
    <row r="359" spans="1:15" s="4" customFormat="1" hidden="1" x14ac:dyDescent="0.2">
      <c r="A359" s="39">
        <v>55</v>
      </c>
      <c r="B359" s="555"/>
      <c r="C359" s="43" t="s">
        <v>142</v>
      </c>
      <c r="D359" s="32"/>
      <c r="E359" s="32"/>
      <c r="F359" s="47"/>
      <c r="G359" s="47">
        <f>ROUND(G323*1.02,2)</f>
        <v>0</v>
      </c>
      <c r="H359" s="47">
        <f t="shared" si="61"/>
        <v>0</v>
      </c>
      <c r="I359" s="81"/>
      <c r="J359" s="2"/>
      <c r="K359" s="61"/>
      <c r="L359" s="61"/>
      <c r="M359" s="61"/>
      <c r="N359" s="61"/>
      <c r="O359" s="61"/>
    </row>
    <row r="360" spans="1:15" s="4" customFormat="1" hidden="1" x14ac:dyDescent="0.2">
      <c r="A360" s="39">
        <v>56</v>
      </c>
      <c r="B360" s="555"/>
      <c r="C360" s="43" t="s">
        <v>108</v>
      </c>
      <c r="D360" s="32"/>
      <c r="E360" s="32"/>
      <c r="F360" s="47"/>
      <c r="G360" s="47">
        <f>ROUND(G326*1.02,2)</f>
        <v>0</v>
      </c>
      <c r="H360" s="47">
        <f t="shared" si="61"/>
        <v>0</v>
      </c>
      <c r="I360" s="81"/>
      <c r="J360" s="2"/>
      <c r="K360" s="61"/>
      <c r="L360" s="61"/>
      <c r="M360" s="61"/>
      <c r="N360" s="61"/>
      <c r="O360" s="61"/>
    </row>
    <row r="361" spans="1:15" s="4" customFormat="1" hidden="1" x14ac:dyDescent="0.2">
      <c r="A361" s="39">
        <v>57</v>
      </c>
      <c r="B361" s="555"/>
      <c r="C361" s="43" t="s">
        <v>143</v>
      </c>
      <c r="D361" s="32"/>
      <c r="E361" s="32"/>
      <c r="F361" s="47"/>
      <c r="G361" s="47">
        <f>ROUND((G327+G328)*1.02,2)</f>
        <v>12776.8</v>
      </c>
      <c r="H361" s="47">
        <f t="shared" si="61"/>
        <v>12776.8</v>
      </c>
      <c r="I361" s="81"/>
      <c r="J361" s="2"/>
      <c r="K361" s="61"/>
      <c r="L361" s="61"/>
      <c r="M361" s="61"/>
      <c r="N361" s="61"/>
      <c r="O361" s="61"/>
    </row>
    <row r="362" spans="1:15" s="4" customFormat="1" hidden="1" x14ac:dyDescent="0.2">
      <c r="A362" s="39">
        <v>59</v>
      </c>
      <c r="B362" s="555"/>
      <c r="C362" s="43" t="s">
        <v>144</v>
      </c>
      <c r="D362" s="32"/>
      <c r="E362" s="32"/>
      <c r="F362" s="47"/>
      <c r="G362" s="47">
        <f>ROUND(G330*1.02,2)</f>
        <v>0</v>
      </c>
      <c r="H362" s="47">
        <f t="shared" si="61"/>
        <v>0</v>
      </c>
      <c r="I362" s="81"/>
      <c r="J362" s="2"/>
      <c r="K362" s="61"/>
      <c r="L362" s="61"/>
      <c r="M362" s="61"/>
      <c r="N362" s="61"/>
      <c r="O362" s="61"/>
    </row>
    <row r="363" spans="1:15" s="4" customFormat="1" hidden="1" x14ac:dyDescent="0.2">
      <c r="A363" s="39">
        <v>60</v>
      </c>
      <c r="B363" s="555"/>
      <c r="C363" s="43" t="s">
        <v>145</v>
      </c>
      <c r="D363" s="32"/>
      <c r="E363" s="32"/>
      <c r="F363" s="47"/>
      <c r="G363" s="47">
        <f>ROUND(G329*1.02,2)</f>
        <v>0</v>
      </c>
      <c r="H363" s="47">
        <f t="shared" si="61"/>
        <v>0</v>
      </c>
      <c r="I363" s="81"/>
      <c r="J363" s="2"/>
      <c r="K363" s="61"/>
      <c r="L363" s="61"/>
      <c r="M363" s="61"/>
      <c r="N363" s="61"/>
      <c r="O363" s="61"/>
    </row>
    <row r="364" spans="1:15" s="4" customFormat="1" hidden="1" x14ac:dyDescent="0.2">
      <c r="A364" s="39">
        <v>61</v>
      </c>
      <c r="B364" s="555"/>
      <c r="C364" s="43" t="s">
        <v>146</v>
      </c>
      <c r="D364" s="32">
        <f>SUM(D342:D363)</f>
        <v>94439.94</v>
      </c>
      <c r="E364" s="32">
        <f>SUM(E342:E363)</f>
        <v>5735.37</v>
      </c>
      <c r="F364" s="32">
        <f>SUM(F342:F363)</f>
        <v>14558.45</v>
      </c>
      <c r="G364" s="32">
        <f>SUM(G342:G363)</f>
        <v>43073.18</v>
      </c>
      <c r="H364" s="32">
        <f>SUM(H342:H363)</f>
        <v>157806.94</v>
      </c>
      <c r="I364" s="77"/>
      <c r="J364" s="2"/>
      <c r="K364" s="61"/>
      <c r="L364" s="61"/>
      <c r="M364" s="61"/>
      <c r="N364" s="61"/>
      <c r="O364" s="61"/>
    </row>
    <row r="365" spans="1:15" s="4" customFormat="1" x14ac:dyDescent="0.2">
      <c r="A365" s="39"/>
      <c r="B365" s="555"/>
      <c r="C365" s="43"/>
      <c r="D365" s="32"/>
      <c r="E365" s="32"/>
      <c r="F365" s="47"/>
      <c r="G365" s="47"/>
      <c r="H365" s="47"/>
      <c r="I365" s="81"/>
      <c r="J365" s="2"/>
      <c r="K365" s="61"/>
      <c r="L365" s="61"/>
      <c r="M365" s="61"/>
      <c r="N365" s="61"/>
      <c r="O365" s="61"/>
    </row>
    <row r="366" spans="1:15" s="4" customFormat="1" ht="18" customHeight="1" x14ac:dyDescent="0.2">
      <c r="A366" s="39"/>
      <c r="B366" s="703" t="s">
        <v>147</v>
      </c>
      <c r="C366" s="703"/>
      <c r="D366" s="30"/>
      <c r="E366" s="30"/>
      <c r="F366" s="30"/>
      <c r="G366" s="30"/>
      <c r="H366" s="30"/>
      <c r="I366" s="79"/>
      <c r="J366" s="2"/>
      <c r="K366" s="61"/>
      <c r="L366" s="61"/>
      <c r="M366" s="61"/>
      <c r="N366" s="61"/>
      <c r="O366" s="61"/>
    </row>
    <row r="367" spans="1:15" s="4" customFormat="1" ht="63.75" x14ac:dyDescent="0.2">
      <c r="A367" s="39">
        <v>43</v>
      </c>
      <c r="B367" s="557" t="s">
        <v>148</v>
      </c>
      <c r="C367" s="50" t="s">
        <v>149</v>
      </c>
      <c r="D367" s="25">
        <f>ROUND(D342*8.1,2)</f>
        <v>743868.68</v>
      </c>
      <c r="E367" s="25">
        <f>ROUND(E342*8.1,2)</f>
        <v>45800.07</v>
      </c>
      <c r="F367" s="25"/>
      <c r="G367" s="25"/>
      <c r="H367" s="25">
        <f t="shared" ref="H367:H381" si="62">D367+E367+F367+G367</f>
        <v>789668.75</v>
      </c>
      <c r="I367" s="78"/>
      <c r="J367" s="2"/>
      <c r="K367" s="61"/>
      <c r="L367" s="61"/>
      <c r="M367" s="61"/>
      <c r="N367" s="61"/>
      <c r="O367" s="61"/>
    </row>
    <row r="368" spans="1:15" s="4" customFormat="1" ht="76.5" x14ac:dyDescent="0.2">
      <c r="A368" s="39">
        <v>44</v>
      </c>
      <c r="B368" s="557" t="s">
        <v>150</v>
      </c>
      <c r="C368" s="50" t="s">
        <v>151</v>
      </c>
      <c r="D368" s="25">
        <f>ROUND((D343)*5.55,2)</f>
        <v>6602.89</v>
      </c>
      <c r="E368" s="25">
        <f>ROUND((E343)*5.55,2)</f>
        <v>449.77</v>
      </c>
      <c r="F368" s="25"/>
      <c r="G368" s="25"/>
      <c r="H368" s="25">
        <f t="shared" si="62"/>
        <v>7052.66</v>
      </c>
      <c r="I368" s="78"/>
      <c r="J368" s="2"/>
      <c r="K368" s="61"/>
      <c r="L368" s="61"/>
      <c r="M368" s="61"/>
      <c r="N368" s="61"/>
      <c r="O368" s="61"/>
    </row>
    <row r="369" spans="1:15" s="4" customFormat="1" ht="76.5" x14ac:dyDescent="0.2">
      <c r="A369" s="39">
        <v>45</v>
      </c>
      <c r="B369" s="557" t="s">
        <v>152</v>
      </c>
      <c r="C369" s="50" t="s">
        <v>153</v>
      </c>
      <c r="D369" s="25">
        <f>ROUND(D344*8.98,2)</f>
        <v>0</v>
      </c>
      <c r="E369" s="25">
        <f>ROUND(E344*8.98,2)</f>
        <v>0</v>
      </c>
      <c r="F369" s="25"/>
      <c r="G369" s="25"/>
      <c r="H369" s="25">
        <f t="shared" si="62"/>
        <v>0</v>
      </c>
      <c r="I369" s="78"/>
      <c r="J369" s="2"/>
      <c r="K369" s="61"/>
      <c r="L369" s="61"/>
      <c r="M369" s="61"/>
      <c r="N369" s="61"/>
      <c r="O369" s="61"/>
    </row>
    <row r="370" spans="1:15" s="4" customFormat="1" ht="76.5" x14ac:dyDescent="0.2">
      <c r="A370" s="39">
        <v>46</v>
      </c>
      <c r="B370" s="557" t="s">
        <v>154</v>
      </c>
      <c r="C370" s="50" t="s">
        <v>155</v>
      </c>
      <c r="D370" s="25">
        <f>ROUND(D345*5.99,2)</f>
        <v>0</v>
      </c>
      <c r="E370" s="25">
        <f>ROUND(E345*5.99,2)</f>
        <v>0</v>
      </c>
      <c r="F370" s="25"/>
      <c r="G370" s="25"/>
      <c r="H370" s="25">
        <f t="shared" si="62"/>
        <v>0</v>
      </c>
      <c r="I370" s="78"/>
      <c r="J370" s="2"/>
      <c r="K370" s="61"/>
      <c r="L370" s="61"/>
      <c r="M370" s="61"/>
      <c r="N370" s="61"/>
      <c r="O370" s="61"/>
    </row>
    <row r="371" spans="1:15" s="4" customFormat="1" ht="76.5" x14ac:dyDescent="0.2">
      <c r="A371" s="39">
        <v>47</v>
      </c>
      <c r="B371" s="557" t="s">
        <v>156</v>
      </c>
      <c r="C371" s="50" t="s">
        <v>157</v>
      </c>
      <c r="D371" s="25">
        <f>ROUND(D346*7.99,2)</f>
        <v>0</v>
      </c>
      <c r="E371" s="25"/>
      <c r="F371" s="25"/>
      <c r="G371" s="25"/>
      <c r="H371" s="25">
        <f t="shared" si="62"/>
        <v>0</v>
      </c>
      <c r="I371" s="78"/>
      <c r="J371" s="2"/>
      <c r="K371" s="61"/>
      <c r="L371" s="61"/>
      <c r="M371" s="61"/>
      <c r="N371" s="61"/>
      <c r="O371" s="61"/>
    </row>
    <row r="372" spans="1:15" s="4" customFormat="1" ht="76.5" x14ac:dyDescent="0.2">
      <c r="A372" s="39">
        <v>48</v>
      </c>
      <c r="B372" s="557" t="s">
        <v>158</v>
      </c>
      <c r="C372" s="50" t="s">
        <v>159</v>
      </c>
      <c r="D372" s="25"/>
      <c r="E372" s="25"/>
      <c r="F372" s="25">
        <f>ROUND(F347*4.09,2)</f>
        <v>59544.06</v>
      </c>
      <c r="G372" s="25"/>
      <c r="H372" s="25">
        <f t="shared" si="62"/>
        <v>59544.06</v>
      </c>
      <c r="I372" s="78"/>
      <c r="J372" s="2"/>
      <c r="K372" s="61"/>
      <c r="L372" s="61"/>
      <c r="M372" s="61"/>
      <c r="N372" s="61"/>
      <c r="O372" s="61"/>
    </row>
    <row r="373" spans="1:15" s="4" customFormat="1" ht="51" x14ac:dyDescent="0.2">
      <c r="A373" s="39">
        <v>49</v>
      </c>
      <c r="B373" s="557" t="s">
        <v>160</v>
      </c>
      <c r="C373" s="557" t="s">
        <v>161</v>
      </c>
      <c r="D373" s="25"/>
      <c r="E373" s="25"/>
      <c r="F373" s="25"/>
      <c r="G373" s="170">
        <f>ROUND(G349*4.35*1.266,2)</f>
        <v>8182.23</v>
      </c>
      <c r="H373" s="25">
        <f t="shared" si="62"/>
        <v>8182.23</v>
      </c>
      <c r="I373" s="78"/>
      <c r="J373" s="2"/>
      <c r="K373" s="61"/>
      <c r="L373" s="61"/>
      <c r="M373" s="61"/>
      <c r="N373" s="61"/>
      <c r="O373" s="61"/>
    </row>
    <row r="374" spans="1:15" s="4" customFormat="1" ht="76.5" x14ac:dyDescent="0.2">
      <c r="A374" s="39">
        <v>50</v>
      </c>
      <c r="B374" s="557" t="s">
        <v>158</v>
      </c>
      <c r="C374" s="557" t="s">
        <v>162</v>
      </c>
      <c r="D374" s="25"/>
      <c r="E374" s="25"/>
      <c r="F374" s="25"/>
      <c r="G374" s="170">
        <f>ROUND(G350*10.79,2)</f>
        <v>41</v>
      </c>
      <c r="H374" s="25">
        <f t="shared" si="62"/>
        <v>41</v>
      </c>
      <c r="I374" s="78"/>
      <c r="J374" s="2"/>
      <c r="K374" s="61"/>
      <c r="L374" s="61"/>
      <c r="M374" s="61"/>
      <c r="N374" s="61"/>
      <c r="O374" s="61"/>
    </row>
    <row r="375" spans="1:15" s="4" customFormat="1" ht="68.25" x14ac:dyDescent="0.2">
      <c r="A375" s="39">
        <v>51</v>
      </c>
      <c r="B375" s="557" t="s">
        <v>163</v>
      </c>
      <c r="C375" s="557" t="s">
        <v>164</v>
      </c>
      <c r="D375" s="24"/>
      <c r="E375" s="25"/>
      <c r="F375" s="25"/>
      <c r="G375" s="170">
        <f>ROUND(G348*15.92,2)</f>
        <v>12992.95</v>
      </c>
      <c r="H375" s="25">
        <f t="shared" si="62"/>
        <v>12992.95</v>
      </c>
      <c r="I375" s="78"/>
      <c r="J375" s="2"/>
      <c r="K375" s="61"/>
      <c r="L375" s="61"/>
      <c r="M375" s="61"/>
      <c r="N375" s="61"/>
      <c r="O375" s="61"/>
    </row>
    <row r="376" spans="1:15" s="4" customFormat="1" ht="63.75" x14ac:dyDescent="0.2">
      <c r="A376" s="39">
        <v>52</v>
      </c>
      <c r="B376" s="557" t="s">
        <v>148</v>
      </c>
      <c r="C376" s="46" t="s">
        <v>165</v>
      </c>
      <c r="D376" s="24">
        <f>ROUND(D354*8.1,2)</f>
        <v>6824.41</v>
      </c>
      <c r="E376" s="25"/>
      <c r="F376" s="25"/>
      <c r="G376" s="25"/>
      <c r="H376" s="25">
        <f t="shared" si="62"/>
        <v>6824.41</v>
      </c>
      <c r="I376" s="78"/>
      <c r="J376" s="2"/>
      <c r="K376" s="61"/>
      <c r="L376" s="61"/>
      <c r="M376" s="61"/>
      <c r="N376" s="61"/>
      <c r="O376" s="61"/>
    </row>
    <row r="377" spans="1:15" s="4" customFormat="1" ht="63.75" x14ac:dyDescent="0.2">
      <c r="A377" s="39">
        <v>53</v>
      </c>
      <c r="B377" s="557" t="s">
        <v>148</v>
      </c>
      <c r="C377" s="46" t="s">
        <v>166</v>
      </c>
      <c r="D377" s="24">
        <f>ROUND(D355*8.1,2)</f>
        <v>4633.7700000000004</v>
      </c>
      <c r="E377" s="25"/>
      <c r="F377" s="25"/>
      <c r="G377" s="25"/>
      <c r="H377" s="25">
        <f t="shared" si="62"/>
        <v>4633.7700000000004</v>
      </c>
      <c r="I377" s="78"/>
      <c r="J377" s="2"/>
      <c r="K377" s="61"/>
      <c r="L377" s="61"/>
      <c r="M377" s="61"/>
      <c r="N377" s="61"/>
      <c r="O377" s="61"/>
    </row>
    <row r="378" spans="1:15" s="4" customFormat="1" ht="76.5" x14ac:dyDescent="0.2">
      <c r="A378" s="39">
        <v>54</v>
      </c>
      <c r="B378" s="557" t="s">
        <v>158</v>
      </c>
      <c r="C378" s="557" t="s">
        <v>167</v>
      </c>
      <c r="D378" s="24"/>
      <c r="E378" s="25"/>
      <c r="F378" s="25"/>
      <c r="G378" s="170">
        <f>ROUND(G351*10.79,2)</f>
        <v>65.930000000000007</v>
      </c>
      <c r="H378" s="25">
        <f t="shared" si="62"/>
        <v>65.930000000000007</v>
      </c>
      <c r="I378" s="78"/>
      <c r="J378" s="2"/>
      <c r="K378" s="61"/>
      <c r="L378" s="61"/>
      <c r="M378" s="61"/>
      <c r="N378" s="61"/>
      <c r="O378" s="61"/>
    </row>
    <row r="379" spans="1:15" s="4" customFormat="1" ht="76.5" x14ac:dyDescent="0.2">
      <c r="A379" s="39">
        <v>55</v>
      </c>
      <c r="B379" s="557" t="s">
        <v>158</v>
      </c>
      <c r="C379" s="557" t="s">
        <v>168</v>
      </c>
      <c r="D379" s="24"/>
      <c r="E379" s="25"/>
      <c r="F379" s="25"/>
      <c r="G379" s="170">
        <f>ROUND(G352*10.79,2)</f>
        <v>590.86</v>
      </c>
      <c r="H379" s="25">
        <f t="shared" si="62"/>
        <v>590.86</v>
      </c>
      <c r="I379" s="78"/>
      <c r="J379" s="2"/>
      <c r="K379" s="61"/>
      <c r="L379" s="61"/>
      <c r="M379" s="61"/>
      <c r="N379" s="61"/>
      <c r="O379" s="61"/>
    </row>
    <row r="380" spans="1:15" s="4" customFormat="1" ht="76.5" x14ac:dyDescent="0.2">
      <c r="A380" s="39">
        <v>56</v>
      </c>
      <c r="B380" s="557" t="s">
        <v>158</v>
      </c>
      <c r="C380" s="557" t="s">
        <v>169</v>
      </c>
      <c r="D380" s="24"/>
      <c r="E380" s="25"/>
      <c r="F380" s="25"/>
      <c r="G380" s="170">
        <f>ROUND(G353*10.79,2)</f>
        <v>233543.18</v>
      </c>
      <c r="H380" s="25">
        <f t="shared" si="62"/>
        <v>233543.18</v>
      </c>
      <c r="I380" s="78"/>
      <c r="J380" s="2"/>
      <c r="K380" s="61"/>
      <c r="L380" s="61"/>
      <c r="M380" s="61"/>
      <c r="N380" s="61"/>
      <c r="O380" s="61"/>
    </row>
    <row r="381" spans="1:15" s="4" customFormat="1" ht="76.5" x14ac:dyDescent="0.2">
      <c r="A381" s="39">
        <v>57</v>
      </c>
      <c r="B381" s="557" t="s">
        <v>158</v>
      </c>
      <c r="C381" s="557" t="s">
        <v>170</v>
      </c>
      <c r="D381" s="24"/>
      <c r="E381" s="25"/>
      <c r="F381" s="25"/>
      <c r="G381" s="170">
        <f>ROUND(G356*10.79,2)</f>
        <v>56191.51</v>
      </c>
      <c r="H381" s="25">
        <f t="shared" si="62"/>
        <v>56191.51</v>
      </c>
      <c r="I381" s="78"/>
      <c r="J381" s="2"/>
      <c r="K381" s="61"/>
      <c r="L381" s="61"/>
      <c r="M381" s="61"/>
      <c r="N381" s="61"/>
      <c r="O381" s="61"/>
    </row>
    <row r="382" spans="1:15" s="4" customFormat="1" hidden="1" x14ac:dyDescent="0.2">
      <c r="A382" s="39">
        <v>58</v>
      </c>
      <c r="B382" s="557"/>
      <c r="C382" s="557"/>
      <c r="D382" s="24"/>
      <c r="E382" s="25"/>
      <c r="F382" s="25"/>
      <c r="G382" s="25"/>
      <c r="H382" s="25"/>
      <c r="I382" s="78"/>
      <c r="J382" s="2"/>
      <c r="K382" s="61"/>
      <c r="L382" s="61"/>
      <c r="M382" s="61"/>
      <c r="N382" s="61"/>
      <c r="O382" s="61"/>
    </row>
    <row r="383" spans="1:15" s="4" customFormat="1" ht="76.5" x14ac:dyDescent="0.2">
      <c r="A383" s="39">
        <v>59</v>
      </c>
      <c r="B383" s="557" t="s">
        <v>158</v>
      </c>
      <c r="C383" s="557" t="s">
        <v>171</v>
      </c>
      <c r="D383" s="24"/>
      <c r="E383" s="25"/>
      <c r="F383" s="25"/>
      <c r="G383" s="170">
        <f>ROUND(G357*10.79,2)</f>
        <v>149.44</v>
      </c>
      <c r="H383" s="25">
        <f>D383+E383+F383+G383</f>
        <v>149.44</v>
      </c>
      <c r="I383" s="78"/>
      <c r="J383" s="2"/>
      <c r="K383" s="61"/>
      <c r="L383" s="61"/>
      <c r="M383" s="61"/>
      <c r="N383" s="61"/>
      <c r="O383" s="61"/>
    </row>
    <row r="384" spans="1:15" s="4" customFormat="1" hidden="1" x14ac:dyDescent="0.2">
      <c r="A384" s="39">
        <v>60</v>
      </c>
      <c r="B384" s="557"/>
      <c r="C384" s="557"/>
      <c r="D384" s="24"/>
      <c r="E384" s="25"/>
      <c r="F384" s="25"/>
      <c r="G384" s="25"/>
      <c r="H384" s="25"/>
      <c r="I384" s="78"/>
      <c r="J384" s="2"/>
      <c r="K384" s="61"/>
      <c r="L384" s="61"/>
      <c r="M384" s="61"/>
      <c r="N384" s="61"/>
      <c r="O384" s="61"/>
    </row>
    <row r="385" spans="1:15" s="4" customFormat="1" ht="51" x14ac:dyDescent="0.2">
      <c r="A385" s="39">
        <v>61</v>
      </c>
      <c r="B385" s="557" t="s">
        <v>160</v>
      </c>
      <c r="C385" s="557" t="s">
        <v>172</v>
      </c>
      <c r="D385" s="24"/>
      <c r="E385" s="25"/>
      <c r="F385" s="25"/>
      <c r="G385" s="170">
        <f>ROUND(G358*4.35*1.266,2)</f>
        <v>5858.51</v>
      </c>
      <c r="H385" s="25">
        <f t="shared" ref="H385:H390" si="63">D385+E385+F385+G385</f>
        <v>5858.51</v>
      </c>
      <c r="I385" s="78"/>
      <c r="J385" s="2"/>
      <c r="K385" s="61"/>
      <c r="L385" s="61"/>
      <c r="M385" s="61"/>
      <c r="N385" s="61"/>
      <c r="O385" s="61"/>
    </row>
    <row r="386" spans="1:15" s="4" customFormat="1" ht="51" x14ac:dyDescent="0.2">
      <c r="A386" s="39">
        <v>62</v>
      </c>
      <c r="B386" s="557" t="s">
        <v>103</v>
      </c>
      <c r="C386" s="557" t="s">
        <v>173</v>
      </c>
      <c r="D386" s="25"/>
      <c r="E386" s="25"/>
      <c r="F386" s="25"/>
      <c r="G386" s="170">
        <f>ROUND(G359*10.79,2)</f>
        <v>0</v>
      </c>
      <c r="H386" s="25">
        <f t="shared" si="63"/>
        <v>0</v>
      </c>
      <c r="I386" s="78">
        <f>G386*1.02*1.2</f>
        <v>0</v>
      </c>
      <c r="J386" s="2"/>
      <c r="K386" s="61"/>
      <c r="L386" s="61"/>
      <c r="M386" s="61"/>
      <c r="N386" s="61"/>
      <c r="O386" s="61"/>
    </row>
    <row r="387" spans="1:15" s="4" customFormat="1" ht="38.25" x14ac:dyDescent="0.2">
      <c r="A387" s="39">
        <v>63</v>
      </c>
      <c r="B387" s="557" t="s">
        <v>174</v>
      </c>
      <c r="C387" s="557" t="s">
        <v>175</v>
      </c>
      <c r="D387" s="25"/>
      <c r="E387" s="25"/>
      <c r="F387" s="25"/>
      <c r="G387" s="170">
        <f>ROUND(G360*4.35*1.266,2)</f>
        <v>0</v>
      </c>
      <c r="H387" s="25">
        <f t="shared" si="63"/>
        <v>0</v>
      </c>
      <c r="I387" s="78">
        <f>G387*1.02*1.2</f>
        <v>0</v>
      </c>
      <c r="J387" s="2"/>
      <c r="K387" s="61"/>
      <c r="L387" s="61"/>
      <c r="M387" s="61"/>
      <c r="N387" s="61"/>
      <c r="O387" s="61"/>
    </row>
    <row r="388" spans="1:15" s="4" customFormat="1" ht="38.25" x14ac:dyDescent="0.2">
      <c r="A388" s="39">
        <v>64</v>
      </c>
      <c r="B388" s="557" t="s">
        <v>176</v>
      </c>
      <c r="C388" s="557" t="s">
        <v>177</v>
      </c>
      <c r="D388" s="24"/>
      <c r="E388" s="25"/>
      <c r="F388" s="25"/>
      <c r="G388" s="170">
        <f>ROUND((G361)*4.27*1.19,2)</f>
        <v>64922.75</v>
      </c>
      <c r="H388" s="25">
        <f t="shared" si="63"/>
        <v>64922.75</v>
      </c>
      <c r="I388" s="78"/>
      <c r="J388" s="2"/>
      <c r="K388" s="61"/>
      <c r="L388" s="61"/>
      <c r="M388" s="61"/>
      <c r="N388" s="61"/>
      <c r="O388" s="61"/>
    </row>
    <row r="389" spans="1:15" s="4" customFormat="1" ht="25.5" x14ac:dyDescent="0.2">
      <c r="A389" s="39">
        <v>65</v>
      </c>
      <c r="B389" s="557" t="s">
        <v>111</v>
      </c>
      <c r="C389" s="557" t="s">
        <v>178</v>
      </c>
      <c r="D389" s="24"/>
      <c r="E389" s="25"/>
      <c r="F389" s="25"/>
      <c r="G389" s="170">
        <f>ROUND(G363*5.29,2)</f>
        <v>0</v>
      </c>
      <c r="H389" s="25">
        <f t="shared" si="63"/>
        <v>0</v>
      </c>
      <c r="I389" s="78">
        <f>G389*1.02*1.2</f>
        <v>0</v>
      </c>
      <c r="J389" s="2"/>
      <c r="K389" s="61"/>
      <c r="L389" s="61"/>
      <c r="M389" s="61"/>
      <c r="N389" s="61"/>
      <c r="O389" s="61"/>
    </row>
    <row r="390" spans="1:15" s="4" customFormat="1" ht="102" x14ac:dyDescent="0.2">
      <c r="A390" s="39">
        <v>66</v>
      </c>
      <c r="B390" s="557" t="s">
        <v>179</v>
      </c>
      <c r="C390" s="557" t="s">
        <v>180</v>
      </c>
      <c r="D390" s="24"/>
      <c r="E390" s="25"/>
      <c r="F390" s="25"/>
      <c r="G390" s="170">
        <f>ROUND((G327*1.19*4.27+G326*1.266*4.35)*0.0058*1.02,2)</f>
        <v>0</v>
      </c>
      <c r="H390" s="25">
        <f t="shared" si="63"/>
        <v>0</v>
      </c>
      <c r="I390" s="78">
        <f>G390*1.02*1.2</f>
        <v>0</v>
      </c>
      <c r="J390" s="2"/>
      <c r="K390" s="61"/>
      <c r="L390" s="61"/>
      <c r="M390" s="61"/>
      <c r="N390" s="61"/>
      <c r="O390" s="61"/>
    </row>
    <row r="391" spans="1:15" s="4" customFormat="1" ht="26.25" customHeight="1" x14ac:dyDescent="0.2">
      <c r="A391" s="39"/>
      <c r="B391" s="673" t="s">
        <v>181</v>
      </c>
      <c r="C391" s="673"/>
      <c r="D391" s="47">
        <f>SUM(D367:D390)</f>
        <v>761929.75</v>
      </c>
      <c r="E391" s="47">
        <f>SUM(E367:E390)</f>
        <v>46249.84</v>
      </c>
      <c r="F391" s="47">
        <f>SUM(F367:F390)</f>
        <v>59544.06</v>
      </c>
      <c r="G391" s="47">
        <f>SUM(G367:G390)</f>
        <v>382538.36</v>
      </c>
      <c r="H391" s="47">
        <f>SUM(H367:H390)</f>
        <v>1250262.01</v>
      </c>
      <c r="I391" s="81"/>
      <c r="J391" s="2"/>
      <c r="K391" s="61"/>
      <c r="L391" s="61"/>
      <c r="M391" s="61"/>
      <c r="N391" s="61"/>
      <c r="O391" s="61"/>
    </row>
    <row r="392" spans="1:15" s="4" customFormat="1" ht="27" customHeight="1" x14ac:dyDescent="0.2">
      <c r="A392" s="39"/>
      <c r="B392" s="673" t="s">
        <v>182</v>
      </c>
      <c r="C392" s="673"/>
      <c r="D392" s="47">
        <f>D391</f>
        <v>761929.75</v>
      </c>
      <c r="E392" s="47">
        <f>E391</f>
        <v>46249.84</v>
      </c>
      <c r="F392" s="47">
        <f>F391</f>
        <v>59544.06</v>
      </c>
      <c r="G392" s="47">
        <f>G391</f>
        <v>382538.36</v>
      </c>
      <c r="H392" s="47">
        <f>H391</f>
        <v>1250262.01</v>
      </c>
      <c r="I392" s="81"/>
      <c r="J392" s="2"/>
      <c r="K392" s="428">
        <f>K336</f>
        <v>759462857.5</v>
      </c>
      <c r="L392" s="428">
        <f>L336</f>
        <v>46097765.789999999</v>
      </c>
      <c r="M392" s="428">
        <f>M336</f>
        <v>59544059.68</v>
      </c>
      <c r="N392" s="428">
        <f>N336</f>
        <v>382538534.86000001</v>
      </c>
      <c r="O392" s="428">
        <f>SUM(K392:N392)</f>
        <v>1247643217.8299999</v>
      </c>
    </row>
    <row r="393" spans="1:15" s="4" customFormat="1" ht="38.25" x14ac:dyDescent="0.2">
      <c r="A393" s="39">
        <v>67</v>
      </c>
      <c r="B393" s="557" t="s">
        <v>183</v>
      </c>
      <c r="C393" s="557" t="s">
        <v>184</v>
      </c>
      <c r="D393" s="25">
        <f>ROUND(D392*20%,2)</f>
        <v>152385.95000000001</v>
      </c>
      <c r="E393" s="25">
        <f>ROUND(E392*20%,2)</f>
        <v>9249.9699999999993</v>
      </c>
      <c r="F393" s="25">
        <f>ROUND(F392*20%,2)</f>
        <v>11908.81</v>
      </c>
      <c r="G393" s="25">
        <f>ROUND(G392*20%,2)</f>
        <v>76507.67</v>
      </c>
      <c r="H393" s="25">
        <f>D393+E393+F393+G393</f>
        <v>250052.4</v>
      </c>
      <c r="I393" s="78"/>
      <c r="J393" s="2"/>
      <c r="K393" s="61">
        <f>K392*20%</f>
        <v>151892571.5</v>
      </c>
      <c r="L393" s="61">
        <f>L392*20%</f>
        <v>9219553.1600000001</v>
      </c>
      <c r="M393" s="61">
        <f>M392*20%</f>
        <v>11908811.939999999</v>
      </c>
      <c r="N393" s="61">
        <f>N392*20%</f>
        <v>76507706.969999999</v>
      </c>
      <c r="O393" s="61">
        <f>SUM(K393:N393)</f>
        <v>249528643.56999999</v>
      </c>
    </row>
    <row r="394" spans="1:15" s="4" customFormat="1" ht="28.5" customHeight="1" x14ac:dyDescent="0.2">
      <c r="A394" s="39"/>
      <c r="B394" s="673" t="s">
        <v>185</v>
      </c>
      <c r="C394" s="673"/>
      <c r="D394" s="47">
        <f>D393+D392</f>
        <v>914315.7</v>
      </c>
      <c r="E394" s="47">
        <f>E393+E392</f>
        <v>55499.81</v>
      </c>
      <c r="F394" s="47">
        <f>F393+F392</f>
        <v>71452.87</v>
      </c>
      <c r="G394" s="47">
        <f>G393+G392</f>
        <v>459046.03</v>
      </c>
      <c r="H394" s="47">
        <f>D394+E394+F394+G394</f>
        <v>1500314.41</v>
      </c>
      <c r="I394" s="81"/>
      <c r="J394" s="2"/>
      <c r="K394" s="323">
        <f>K392+K393</f>
        <v>911355429</v>
      </c>
      <c r="L394" s="323">
        <f>L392+L393</f>
        <v>55317318.950000003</v>
      </c>
      <c r="M394" s="323">
        <f>M392+M393</f>
        <v>71452871.620000005</v>
      </c>
      <c r="N394" s="323">
        <f>N392+N393</f>
        <v>459046241.82999998</v>
      </c>
      <c r="O394" s="323">
        <f>SUM(K394:N394)</f>
        <v>1497171861.4000001</v>
      </c>
    </row>
    <row r="395" spans="1:15" s="4" customFormat="1" ht="15.75" customHeight="1" x14ac:dyDescent="0.2">
      <c r="A395" s="689" t="s">
        <v>186</v>
      </c>
      <c r="B395" s="690"/>
      <c r="C395" s="691"/>
      <c r="D395" s="47"/>
      <c r="E395" s="47"/>
      <c r="F395" s="47"/>
      <c r="G395" s="47"/>
      <c r="H395" s="47"/>
      <c r="I395" s="81"/>
      <c r="J395" s="2"/>
      <c r="K395" s="61"/>
      <c r="L395" s="61"/>
      <c r="M395" s="61"/>
      <c r="N395" s="61"/>
      <c r="O395" s="61"/>
    </row>
    <row r="396" spans="1:15" s="4" customFormat="1" ht="30.75" customHeight="1" x14ac:dyDescent="0.2">
      <c r="A396" s="39">
        <v>68</v>
      </c>
      <c r="B396" s="674" t="s">
        <v>187</v>
      </c>
      <c r="C396" s="674"/>
      <c r="D396" s="25">
        <f>ROUND(D338*8.1*1.2,2)</f>
        <v>2960.03</v>
      </c>
      <c r="E396" s="25">
        <f>ROUND(E338*8.1*1.2,2)</f>
        <v>182.54</v>
      </c>
      <c r="F396" s="25"/>
      <c r="G396" s="25"/>
      <c r="H396" s="25">
        <f>D396+E396+F396+G396</f>
        <v>3142.57</v>
      </c>
      <c r="I396" s="78">
        <f>-H396*1.02</f>
        <v>-3205.42</v>
      </c>
      <c r="J396" s="2"/>
      <c r="K396" s="61"/>
      <c r="L396" s="61"/>
      <c r="M396" s="61"/>
      <c r="N396" s="61"/>
      <c r="O396" s="61"/>
    </row>
    <row r="397" spans="1:15" s="4" customFormat="1" ht="15.75" customHeight="1" x14ac:dyDescent="0.2">
      <c r="A397" s="39">
        <v>69</v>
      </c>
      <c r="B397" s="674" t="s">
        <v>188</v>
      </c>
      <c r="C397" s="674"/>
      <c r="D397" s="25"/>
      <c r="E397" s="25"/>
      <c r="F397" s="25"/>
      <c r="G397" s="25">
        <f>G326+G327+G328</f>
        <v>12526.27</v>
      </c>
      <c r="H397" s="25">
        <f>G397</f>
        <v>12526.27</v>
      </c>
      <c r="I397" s="78"/>
      <c r="J397" s="2"/>
      <c r="K397" s="61"/>
      <c r="L397" s="61"/>
      <c r="M397" s="61"/>
      <c r="N397" s="61"/>
      <c r="O397" s="61"/>
    </row>
    <row r="398" spans="1:15" s="4" customFormat="1" ht="15.75" customHeight="1" x14ac:dyDescent="0.2">
      <c r="A398" s="39">
        <v>70</v>
      </c>
      <c r="B398" s="674" t="s">
        <v>189</v>
      </c>
      <c r="C398" s="674"/>
      <c r="D398" s="25"/>
      <c r="E398" s="25"/>
      <c r="F398" s="25"/>
      <c r="G398" s="25">
        <f>ROUND(((G327+G328)*4.27*1.19+G326*4.35*1.266)*1.2,2)</f>
        <v>76379.679999999993</v>
      </c>
      <c r="H398" s="25">
        <f>G398</f>
        <v>76379.679999999993</v>
      </c>
      <c r="I398" s="78"/>
      <c r="J398" s="2"/>
      <c r="K398" s="61"/>
      <c r="L398" s="61"/>
      <c r="M398" s="61"/>
      <c r="N398" s="61"/>
      <c r="O398" s="61"/>
    </row>
    <row r="399" spans="1:15" s="4" customFormat="1" x14ac:dyDescent="0.2">
      <c r="A399" s="11"/>
      <c r="B399" s="1"/>
      <c r="C399" s="1"/>
      <c r="D399" s="10"/>
      <c r="E399" s="10"/>
      <c r="F399" s="10"/>
      <c r="G399" s="10"/>
      <c r="H399" s="10"/>
      <c r="I399" s="48">
        <f>SUM(I34:I398)*1000</f>
        <v>-3205420</v>
      </c>
      <c r="J399" s="2"/>
      <c r="K399" s="64"/>
      <c r="L399" s="64"/>
      <c r="M399" s="64"/>
      <c r="N399" s="64"/>
      <c r="O399" s="61"/>
    </row>
    <row r="400" spans="1:15" s="4" customFormat="1" x14ac:dyDescent="0.2">
      <c r="A400" s="11"/>
      <c r="B400" s="1" t="s">
        <v>658</v>
      </c>
      <c r="C400" s="1"/>
      <c r="D400" s="10"/>
      <c r="E400" s="10"/>
      <c r="F400" s="10"/>
      <c r="G400" s="10"/>
      <c r="H400" s="10"/>
      <c r="I400" s="48"/>
      <c r="J400" s="2"/>
      <c r="K400" s="167"/>
      <c r="L400" s="167"/>
      <c r="M400" s="167"/>
      <c r="N400" s="167"/>
      <c r="O400" s="168"/>
    </row>
    <row r="401" spans="1:16" s="4" customFormat="1" ht="46.5" customHeight="1" x14ac:dyDescent="0.2">
      <c r="A401" s="11"/>
      <c r="B401" s="674" t="s">
        <v>648</v>
      </c>
      <c r="C401" s="674"/>
      <c r="D401" s="25">
        <f>(D39+D234+D253+D294)*2.3%*15%*8.1</f>
        <v>2434.06</v>
      </c>
      <c r="E401" s="25">
        <f>(E39+E234+E253+E294)*2.3%*15%*8.1</f>
        <v>149.86000000000001</v>
      </c>
      <c r="F401" s="30"/>
      <c r="G401" s="30"/>
      <c r="H401" s="25">
        <f t="shared" ref="H401:H410" si="64">SUM(D401:G401)</f>
        <v>2583.92</v>
      </c>
      <c r="I401" s="48">
        <f>I399+O338</f>
        <v>-3205420</v>
      </c>
      <c r="J401" s="2"/>
      <c r="K401" s="25">
        <f t="shared" ref="K401:L405" si="65">D401*1000</f>
        <v>2434060</v>
      </c>
      <c r="L401" s="25">
        <f t="shared" si="65"/>
        <v>149860</v>
      </c>
      <c r="M401" s="30"/>
      <c r="N401" s="30"/>
      <c r="O401" s="25">
        <f t="shared" ref="O401:O410" si="66">SUM(K401:N401)</f>
        <v>2583920</v>
      </c>
    </row>
    <row r="402" spans="1:16" s="4" customFormat="1" ht="45.75" customHeight="1" x14ac:dyDescent="0.2">
      <c r="A402" s="11"/>
      <c r="B402" s="674" t="s">
        <v>649</v>
      </c>
      <c r="C402" s="674"/>
      <c r="D402" s="166">
        <f>D240*2.3%*15%*5.55</f>
        <v>22.33</v>
      </c>
      <c r="E402" s="166">
        <f>E240*2.3%*15%*5.55</f>
        <v>1.52</v>
      </c>
      <c r="F402" s="30"/>
      <c r="G402" s="30"/>
      <c r="H402" s="25">
        <f t="shared" si="64"/>
        <v>23.85</v>
      </c>
      <c r="I402" s="48"/>
      <c r="J402" s="2"/>
      <c r="K402" s="25">
        <f t="shared" si="65"/>
        <v>22330</v>
      </c>
      <c r="L402" s="25">
        <f t="shared" si="65"/>
        <v>1520</v>
      </c>
      <c r="M402" s="30"/>
      <c r="N402" s="30"/>
      <c r="O402" s="25">
        <f t="shared" si="66"/>
        <v>23850</v>
      </c>
    </row>
    <row r="403" spans="1:16" s="4" customFormat="1" ht="42.75" customHeight="1" x14ac:dyDescent="0.2">
      <c r="A403" s="11"/>
      <c r="B403" s="674" t="s">
        <v>650</v>
      </c>
      <c r="C403" s="674"/>
      <c r="D403" s="166">
        <f>D255*2.3%*15%*8.98</f>
        <v>0</v>
      </c>
      <c r="E403" s="166">
        <f>E255*2.3%*15%*8.98</f>
        <v>0</v>
      </c>
      <c r="F403" s="30"/>
      <c r="G403" s="30"/>
      <c r="H403" s="25">
        <f t="shared" si="64"/>
        <v>0</v>
      </c>
      <c r="I403" s="48"/>
      <c r="J403" s="2"/>
      <c r="K403" s="25">
        <f t="shared" si="65"/>
        <v>0</v>
      </c>
      <c r="L403" s="25">
        <f t="shared" si="65"/>
        <v>0</v>
      </c>
      <c r="M403" s="30"/>
      <c r="N403" s="30"/>
      <c r="O403" s="25">
        <f t="shared" si="66"/>
        <v>0</v>
      </c>
    </row>
    <row r="404" spans="1:16" s="4" customFormat="1" ht="42.75" customHeight="1" x14ac:dyDescent="0.2">
      <c r="A404" s="11"/>
      <c r="B404" s="674" t="s">
        <v>651</v>
      </c>
      <c r="C404" s="674"/>
      <c r="D404" s="166">
        <f>D261*2.3%*15%*8.98</f>
        <v>0</v>
      </c>
      <c r="E404" s="166">
        <f>E261*2.3%*15%*8.98</f>
        <v>0</v>
      </c>
      <c r="F404" s="30"/>
      <c r="G404" s="30"/>
      <c r="H404" s="25">
        <f t="shared" si="64"/>
        <v>0</v>
      </c>
      <c r="I404" s="48"/>
      <c r="J404" s="2"/>
      <c r="K404" s="25">
        <f t="shared" si="65"/>
        <v>0</v>
      </c>
      <c r="L404" s="25">
        <f t="shared" si="65"/>
        <v>0</v>
      </c>
      <c r="M404" s="30"/>
      <c r="N404" s="30"/>
      <c r="O404" s="25">
        <f t="shared" si="66"/>
        <v>0</v>
      </c>
    </row>
    <row r="405" spans="1:16" s="4" customFormat="1" ht="42.75" customHeight="1" x14ac:dyDescent="0.2">
      <c r="A405" s="11"/>
      <c r="B405" s="674" t="s">
        <v>652</v>
      </c>
      <c r="C405" s="674"/>
      <c r="D405" s="166">
        <f>D268*2.3%*15%*8.98</f>
        <v>0</v>
      </c>
      <c r="E405" s="166">
        <f>E268*2.3%*15%*8.98</f>
        <v>0</v>
      </c>
      <c r="F405" s="30"/>
      <c r="G405" s="30"/>
      <c r="H405" s="25">
        <f t="shared" si="64"/>
        <v>0</v>
      </c>
      <c r="I405" s="48"/>
      <c r="J405" s="2"/>
      <c r="K405" s="25">
        <f t="shared" si="65"/>
        <v>0</v>
      </c>
      <c r="L405" s="25">
        <f t="shared" si="65"/>
        <v>0</v>
      </c>
      <c r="M405" s="30"/>
      <c r="N405" s="30"/>
      <c r="O405" s="25">
        <f t="shared" si="66"/>
        <v>0</v>
      </c>
    </row>
    <row r="406" spans="1:16" s="4" customFormat="1" x14ac:dyDescent="0.2">
      <c r="A406" s="11"/>
      <c r="B406" s="169" t="s">
        <v>653</v>
      </c>
      <c r="C406" s="169"/>
      <c r="D406" s="25">
        <f>SUM(D401:D405)</f>
        <v>2456.39</v>
      </c>
      <c r="E406" s="25">
        <f>SUM(E401:E405)</f>
        <v>151.38</v>
      </c>
      <c r="F406" s="30"/>
      <c r="G406" s="30"/>
      <c r="H406" s="25">
        <f t="shared" si="64"/>
        <v>2607.77</v>
      </c>
      <c r="I406" s="48"/>
      <c r="J406" s="2"/>
      <c r="K406" s="25">
        <f>SUM(K401:K405)</f>
        <v>2456390</v>
      </c>
      <c r="L406" s="25">
        <f>SUM(L401:L405)</f>
        <v>151380</v>
      </c>
      <c r="M406" s="30"/>
      <c r="N406" s="30"/>
      <c r="O406" s="25">
        <f t="shared" si="66"/>
        <v>2607770</v>
      </c>
    </row>
    <row r="407" spans="1:16" s="4" customFormat="1" hidden="1" x14ac:dyDescent="0.2">
      <c r="A407" s="11"/>
      <c r="B407" s="169" t="s">
        <v>654</v>
      </c>
      <c r="C407" s="169"/>
      <c r="D407" s="166">
        <f>D406*2%*0</f>
        <v>0</v>
      </c>
      <c r="E407" s="166">
        <f>E406*2%*0</f>
        <v>0</v>
      </c>
      <c r="F407" s="30"/>
      <c r="G407" s="30"/>
      <c r="H407" s="25">
        <f t="shared" si="64"/>
        <v>0</v>
      </c>
      <c r="I407" s="10"/>
      <c r="J407" s="2"/>
      <c r="K407" s="25">
        <f t="shared" ref="K407:L410" si="67">D407*1000</f>
        <v>0</v>
      </c>
      <c r="L407" s="25">
        <f t="shared" si="67"/>
        <v>0</v>
      </c>
      <c r="M407" s="30"/>
      <c r="N407" s="30"/>
      <c r="O407" s="25">
        <f t="shared" si="66"/>
        <v>0</v>
      </c>
    </row>
    <row r="408" spans="1:16" s="4" customFormat="1" hidden="1" x14ac:dyDescent="0.2">
      <c r="A408" s="11"/>
      <c r="B408" s="169" t="s">
        <v>655</v>
      </c>
      <c r="C408" s="169"/>
      <c r="D408" s="25">
        <f>D406+D407</f>
        <v>2456.39</v>
      </c>
      <c r="E408" s="25">
        <f>E406+E407</f>
        <v>151.38</v>
      </c>
      <c r="F408" s="30"/>
      <c r="G408" s="30"/>
      <c r="H408" s="25">
        <f t="shared" si="64"/>
        <v>2607.77</v>
      </c>
      <c r="I408" s="10"/>
      <c r="J408" s="2"/>
      <c r="K408" s="25">
        <f t="shared" si="67"/>
        <v>2456390</v>
      </c>
      <c r="L408" s="25">
        <f t="shared" si="67"/>
        <v>151380</v>
      </c>
      <c r="M408" s="30"/>
      <c r="N408" s="30"/>
      <c r="O408" s="25">
        <f t="shared" si="66"/>
        <v>2607770</v>
      </c>
    </row>
    <row r="409" spans="1:16" s="4" customFormat="1" x14ac:dyDescent="0.2">
      <c r="A409" s="11"/>
      <c r="B409" s="169" t="s">
        <v>656</v>
      </c>
      <c r="C409" s="169"/>
      <c r="D409" s="166">
        <f>D408*20%</f>
        <v>491.28</v>
      </c>
      <c r="E409" s="166">
        <f>E408*20%</f>
        <v>30.28</v>
      </c>
      <c r="F409" s="30"/>
      <c r="G409" s="30"/>
      <c r="H409" s="25">
        <f t="shared" si="64"/>
        <v>521.55999999999995</v>
      </c>
      <c r="I409" s="10"/>
      <c r="J409" s="2"/>
      <c r="K409" s="25">
        <f t="shared" si="67"/>
        <v>491280</v>
      </c>
      <c r="L409" s="25">
        <f t="shared" si="67"/>
        <v>30280</v>
      </c>
      <c r="M409" s="30"/>
      <c r="N409" s="30"/>
      <c r="O409" s="25">
        <f t="shared" si="66"/>
        <v>521560</v>
      </c>
    </row>
    <row r="410" spans="1:16" s="4" customFormat="1" x14ac:dyDescent="0.2">
      <c r="A410" s="11"/>
      <c r="B410" s="169" t="s">
        <v>657</v>
      </c>
      <c r="C410" s="169"/>
      <c r="D410" s="25">
        <f>D408+D409</f>
        <v>2947.67</v>
      </c>
      <c r="E410" s="25">
        <f>E408+E409</f>
        <v>181.66</v>
      </c>
      <c r="F410" s="30"/>
      <c r="G410" s="30"/>
      <c r="H410" s="25">
        <f t="shared" si="64"/>
        <v>3129.33</v>
      </c>
      <c r="I410" s="10"/>
      <c r="J410" s="2"/>
      <c r="K410" s="25">
        <f t="shared" si="67"/>
        <v>2947670</v>
      </c>
      <c r="L410" s="25">
        <f t="shared" si="67"/>
        <v>181660</v>
      </c>
      <c r="M410" s="30"/>
      <c r="N410" s="30"/>
      <c r="O410" s="25">
        <f t="shared" si="66"/>
        <v>3129330</v>
      </c>
    </row>
    <row r="412" spans="1:16" s="4" customFormat="1" ht="33.75" customHeight="1" x14ac:dyDescent="0.2">
      <c r="A412" s="11"/>
      <c r="B412" s="673" t="s">
        <v>659</v>
      </c>
      <c r="C412" s="711"/>
      <c r="D412" s="570">
        <f>D394-D410</f>
        <v>911368.03</v>
      </c>
      <c r="E412" s="570">
        <f>E394-E410</f>
        <v>55318.15</v>
      </c>
      <c r="F412" s="570">
        <f>F394-F410</f>
        <v>71452.87</v>
      </c>
      <c r="G412" s="570">
        <f>G394-G410</f>
        <v>459046.03</v>
      </c>
      <c r="H412" s="570">
        <f>SUM(D412:G412)</f>
        <v>1497185.08</v>
      </c>
      <c r="I412" s="10"/>
      <c r="J412" s="2"/>
      <c r="K412" s="571">
        <f>K394</f>
        <v>911355429</v>
      </c>
      <c r="L412" s="571">
        <f>L394</f>
        <v>55317318.950000003</v>
      </c>
      <c r="M412" s="571">
        <f>M394</f>
        <v>71452871.620000005</v>
      </c>
      <c r="N412" s="571">
        <f>N394</f>
        <v>459046241.82999998</v>
      </c>
      <c r="O412" s="572">
        <f>SUM(K412:N412)</f>
        <v>1497171861.4000001</v>
      </c>
      <c r="P412" s="232"/>
    </row>
    <row r="413" spans="1:16" x14ac:dyDescent="0.2">
      <c r="C413" s="169"/>
      <c r="D413" s="30"/>
      <c r="E413" s="30"/>
      <c r="F413" s="30"/>
      <c r="G413" s="30"/>
      <c r="H413" s="30"/>
      <c r="I413" s="30"/>
      <c r="J413" s="573"/>
      <c r="K413" s="64"/>
      <c r="L413" s="64"/>
      <c r="M413" s="64"/>
      <c r="N413" s="574" t="s">
        <v>1236</v>
      </c>
      <c r="O413" s="61">
        <f>O412-O419</f>
        <v>-173349846.77000001</v>
      </c>
    </row>
    <row r="414" spans="1:16" x14ac:dyDescent="0.2">
      <c r="C414" s="169" t="s">
        <v>1234</v>
      </c>
      <c r="D414" s="30"/>
      <c r="E414" s="30"/>
      <c r="F414" s="30"/>
      <c r="G414" s="30"/>
      <c r="H414" s="30"/>
      <c r="I414" s="30"/>
      <c r="J414" s="573"/>
      <c r="K414" s="64"/>
      <c r="L414" s="64"/>
      <c r="M414" s="64"/>
      <c r="N414" s="64"/>
      <c r="O414" s="61"/>
    </row>
    <row r="415" spans="1:16" x14ac:dyDescent="0.2">
      <c r="C415" s="169" t="s">
        <v>1231</v>
      </c>
      <c r="D415" s="30"/>
      <c r="E415" s="30"/>
      <c r="F415" s="30"/>
      <c r="G415" s="30"/>
      <c r="H415" s="30"/>
      <c r="I415" s="30"/>
      <c r="J415" s="573"/>
      <c r="K415" s="64"/>
      <c r="L415" s="64"/>
      <c r="M415" s="64"/>
      <c r="N415" s="64"/>
      <c r="O415" s="61">
        <f>210990.36*1000/1.101</f>
        <v>191635204.36000001</v>
      </c>
    </row>
    <row r="416" spans="1:16" x14ac:dyDescent="0.2">
      <c r="C416" s="169" t="s">
        <v>1232</v>
      </c>
      <c r="D416" s="30"/>
      <c r="E416" s="30"/>
      <c r="F416" s="30"/>
      <c r="G416" s="30"/>
      <c r="H416" s="30"/>
      <c r="I416" s="30"/>
      <c r="J416" s="573"/>
      <c r="K416" s="64"/>
      <c r="L416" s="64"/>
      <c r="M416" s="64"/>
      <c r="N416" s="64"/>
      <c r="O416" s="61">
        <f>14175.3*1000/1.101</f>
        <v>12874931.880000001</v>
      </c>
    </row>
    <row r="417" spans="3:15" x14ac:dyDescent="0.2">
      <c r="C417" s="169" t="s">
        <v>1233</v>
      </c>
      <c r="D417" s="30"/>
      <c r="E417" s="30"/>
      <c r="F417" s="30"/>
      <c r="G417" s="30"/>
      <c r="H417" s="30"/>
      <c r="I417" s="30"/>
      <c r="J417" s="573"/>
      <c r="K417" s="64"/>
      <c r="L417" s="64"/>
      <c r="M417" s="64"/>
      <c r="N417" s="64"/>
      <c r="O417" s="61">
        <f>42525.91*1000/1.101</f>
        <v>38624804.719999999</v>
      </c>
    </row>
    <row r="418" spans="3:15" x14ac:dyDescent="0.2">
      <c r="C418" s="169"/>
      <c r="D418" s="30"/>
      <c r="E418" s="30"/>
      <c r="F418" s="30"/>
      <c r="G418" s="30"/>
      <c r="H418" s="30"/>
      <c r="I418" s="30"/>
      <c r="J418" s="573"/>
      <c r="K418" s="64"/>
      <c r="L418" s="64"/>
      <c r="M418" s="64"/>
      <c r="N418" s="64"/>
      <c r="O418" s="61">
        <f>O412+O415+O416+O417</f>
        <v>1740306802.3599999</v>
      </c>
    </row>
    <row r="419" spans="3:15" x14ac:dyDescent="0.2">
      <c r="C419" s="169"/>
      <c r="D419" s="30"/>
      <c r="E419" s="30"/>
      <c r="F419" s="30"/>
      <c r="G419" s="30"/>
      <c r="H419" s="30"/>
      <c r="I419" s="30"/>
      <c r="J419" s="573"/>
      <c r="K419" s="64"/>
      <c r="L419" s="64"/>
      <c r="M419" s="64"/>
      <c r="N419" s="574" t="s">
        <v>1235</v>
      </c>
      <c r="O419" s="61">
        <v>1670521708.1658738</v>
      </c>
    </row>
    <row r="420" spans="3:15" x14ac:dyDescent="0.2">
      <c r="N420" s="65" t="s">
        <v>1237</v>
      </c>
      <c r="O420" s="66">
        <f>O419-O418</f>
        <v>-69785094.189999998</v>
      </c>
    </row>
  </sheetData>
  <mergeCells count="66">
    <mergeCell ref="C2:G2"/>
    <mergeCell ref="C14:G14"/>
    <mergeCell ref="A21:H21"/>
    <mergeCell ref="A25:A28"/>
    <mergeCell ref="B25:B28"/>
    <mergeCell ref="C25:C28"/>
    <mergeCell ref="D25:G25"/>
    <mergeCell ref="H25:H28"/>
    <mergeCell ref="K25:O26"/>
    <mergeCell ref="D26:D28"/>
    <mergeCell ref="E26:E28"/>
    <mergeCell ref="F26:F28"/>
    <mergeCell ref="G26:G28"/>
    <mergeCell ref="K27:K28"/>
    <mergeCell ref="L27:L28"/>
    <mergeCell ref="M27:M28"/>
    <mergeCell ref="N27:N28"/>
    <mergeCell ref="O27:O28"/>
    <mergeCell ref="A30:H30"/>
    <mergeCell ref="B39:C39"/>
    <mergeCell ref="A40:H40"/>
    <mergeCell ref="P143:P149"/>
    <mergeCell ref="P165:P167"/>
    <mergeCell ref="P173:P175"/>
    <mergeCell ref="P177:P186"/>
    <mergeCell ref="B234:C234"/>
    <mergeCell ref="A235:H235"/>
    <mergeCell ref="B240:C240"/>
    <mergeCell ref="A241:H241"/>
    <mergeCell ref="B253:C253"/>
    <mergeCell ref="A254:H254"/>
    <mergeCell ref="B274:C274"/>
    <mergeCell ref="A275:H275"/>
    <mergeCell ref="B294:C294"/>
    <mergeCell ref="B295:C295"/>
    <mergeCell ref="A296:H296"/>
    <mergeCell ref="B299:C299"/>
    <mergeCell ref="B300:C300"/>
    <mergeCell ref="B301:C301"/>
    <mergeCell ref="A302:H302"/>
    <mergeCell ref="B320:C320"/>
    <mergeCell ref="B321:C321"/>
    <mergeCell ref="A322:H322"/>
    <mergeCell ref="B324:C324"/>
    <mergeCell ref="A325:H325"/>
    <mergeCell ref="B331:C331"/>
    <mergeCell ref="B332:C332"/>
    <mergeCell ref="A333:H333"/>
    <mergeCell ref="B335:C335"/>
    <mergeCell ref="B336:C336"/>
    <mergeCell ref="B337:C337"/>
    <mergeCell ref="A339:H339"/>
    <mergeCell ref="B366:C366"/>
    <mergeCell ref="B391:C391"/>
    <mergeCell ref="B392:C392"/>
    <mergeCell ref="B394:C394"/>
    <mergeCell ref="A395:C395"/>
    <mergeCell ref="B396:C396"/>
    <mergeCell ref="B404:C404"/>
    <mergeCell ref="B405:C405"/>
    <mergeCell ref="B412:C412"/>
    <mergeCell ref="B397:C397"/>
    <mergeCell ref="B398:C398"/>
    <mergeCell ref="B401:C401"/>
    <mergeCell ref="B402:C402"/>
    <mergeCell ref="B403:C403"/>
  </mergeCells>
  <printOptions gridLines="1"/>
  <pageMargins left="0.42013888888888901" right="0.25" top="0.3" bottom="0.3" header="0.51180555555555496" footer="0.51180555555555496"/>
  <pageSetup paperSize="9" scale="63" firstPageNumber="0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topLeftCell="A19" zoomScale="60" zoomScaleNormal="100" workbookViewId="0">
      <selection activeCell="B31" sqref="B31"/>
    </sheetView>
  </sheetViews>
  <sheetFormatPr defaultRowHeight="12.75" x14ac:dyDescent="0.2"/>
  <cols>
    <col min="1" max="1" width="46.42578125" customWidth="1"/>
    <col min="2" max="2" width="60.7109375" customWidth="1"/>
    <col min="3" max="3" width="62.5703125" customWidth="1"/>
  </cols>
  <sheetData>
    <row r="1" spans="1:3" ht="15.75" x14ac:dyDescent="0.25">
      <c r="A1" s="600" t="s">
        <v>747</v>
      </c>
      <c r="B1" s="600"/>
      <c r="C1" s="600"/>
    </row>
    <row r="2" spans="1:3" ht="15.75" x14ac:dyDescent="0.25">
      <c r="A2" s="600" t="s">
        <v>748</v>
      </c>
      <c r="B2" s="600"/>
      <c r="C2" s="600"/>
    </row>
    <row r="3" spans="1:3" ht="43.9" customHeight="1" x14ac:dyDescent="0.2">
      <c r="A3" s="601" t="s">
        <v>1215</v>
      </c>
      <c r="B3" s="595"/>
      <c r="C3" s="595"/>
    </row>
    <row r="4" spans="1:3" ht="51.6" customHeight="1" x14ac:dyDescent="0.2">
      <c r="A4" s="602" t="s">
        <v>749</v>
      </c>
      <c r="B4" s="602"/>
      <c r="C4" s="602"/>
    </row>
    <row r="5" spans="1:3" ht="15.75" x14ac:dyDescent="0.2">
      <c r="A5" s="599" t="s">
        <v>750</v>
      </c>
      <c r="B5" s="599"/>
      <c r="C5" s="599"/>
    </row>
    <row r="6" spans="1:3" ht="129" customHeight="1" x14ac:dyDescent="0.2">
      <c r="A6" s="599" t="s">
        <v>1092</v>
      </c>
      <c r="B6" s="599"/>
      <c r="C6" s="599"/>
    </row>
    <row r="7" spans="1:3" ht="15.75" x14ac:dyDescent="0.2">
      <c r="A7" s="597" t="s">
        <v>751</v>
      </c>
      <c r="B7" s="597"/>
      <c r="C7" s="597"/>
    </row>
    <row r="8" spans="1:3" ht="52.9" customHeight="1" x14ac:dyDescent="0.2">
      <c r="A8" s="598" t="s">
        <v>1058</v>
      </c>
      <c r="B8" s="598"/>
      <c r="C8" s="598"/>
    </row>
    <row r="9" spans="1:3" ht="27.6" customHeight="1" x14ac:dyDescent="0.2">
      <c r="A9" s="592" t="s">
        <v>757</v>
      </c>
      <c r="B9" s="592"/>
      <c r="C9" s="592"/>
    </row>
    <row r="10" spans="1:3" ht="27.6" customHeight="1" x14ac:dyDescent="0.2">
      <c r="A10" s="591" t="s">
        <v>1096</v>
      </c>
      <c r="B10" s="591"/>
      <c r="C10" s="591"/>
    </row>
    <row r="11" spans="1:3" ht="49.5" customHeight="1" x14ac:dyDescent="0.2">
      <c r="A11" s="589" t="s">
        <v>1244</v>
      </c>
      <c r="B11" s="589"/>
      <c r="C11" s="589"/>
    </row>
    <row r="12" spans="1:3" ht="28.5" customHeight="1" x14ac:dyDescent="0.2">
      <c r="A12" s="590" t="s">
        <v>1071</v>
      </c>
      <c r="B12" s="590"/>
      <c r="C12" s="590"/>
    </row>
    <row r="13" spans="1:3" ht="36.75" customHeight="1" x14ac:dyDescent="0.2">
      <c r="A13" s="597" t="s">
        <v>1094</v>
      </c>
      <c r="B13" s="597"/>
      <c r="C13" s="597"/>
    </row>
    <row r="14" spans="1:3" ht="69" customHeight="1" x14ac:dyDescent="0.2">
      <c r="A14" s="598" t="s">
        <v>1093</v>
      </c>
      <c r="B14" s="598"/>
      <c r="C14" s="598"/>
    </row>
    <row r="15" spans="1:3" ht="50.25" customHeight="1" x14ac:dyDescent="0.2">
      <c r="A15" s="592" t="s">
        <v>1095</v>
      </c>
      <c r="B15" s="592"/>
      <c r="C15" s="592"/>
    </row>
    <row r="16" spans="1:3" ht="30" customHeight="1" x14ac:dyDescent="0.2">
      <c r="A16" s="591" t="s">
        <v>1096</v>
      </c>
      <c r="B16" s="591"/>
      <c r="C16" s="591"/>
    </row>
    <row r="17" spans="1:3" ht="52.9" customHeight="1" x14ac:dyDescent="0.2">
      <c r="A17" s="589" t="s">
        <v>1245</v>
      </c>
      <c r="B17" s="589"/>
      <c r="C17" s="589"/>
    </row>
    <row r="18" spans="1:3" ht="33.75" customHeight="1" x14ac:dyDescent="0.2">
      <c r="A18" s="590" t="s">
        <v>1071</v>
      </c>
      <c r="B18" s="590"/>
      <c r="C18" s="590"/>
    </row>
    <row r="19" spans="1:3" ht="27.6" customHeight="1" x14ac:dyDescent="0.2"/>
    <row r="20" spans="1:3" ht="15.75" x14ac:dyDescent="0.2">
      <c r="A20" s="595" t="s">
        <v>752</v>
      </c>
      <c r="B20" s="595"/>
      <c r="C20" s="595"/>
    </row>
    <row r="21" spans="1:3" ht="41.25" customHeight="1" x14ac:dyDescent="0.2">
      <c r="A21" s="596" t="s">
        <v>1059</v>
      </c>
      <c r="B21" s="596"/>
      <c r="C21" s="596"/>
    </row>
    <row r="22" spans="1:3" ht="33" customHeight="1" x14ac:dyDescent="0.2">
      <c r="A22" s="596" t="s">
        <v>758</v>
      </c>
      <c r="B22" s="596"/>
      <c r="C22" s="596"/>
    </row>
    <row r="23" spans="1:3" ht="30.75" customHeight="1" x14ac:dyDescent="0.2">
      <c r="A23" s="592" t="s">
        <v>756</v>
      </c>
      <c r="B23" s="592"/>
      <c r="C23" s="592"/>
    </row>
    <row r="24" spans="1:3" ht="42" customHeight="1" x14ac:dyDescent="0.2">
      <c r="A24" s="591" t="s">
        <v>1096</v>
      </c>
      <c r="B24" s="591"/>
      <c r="C24" s="591"/>
    </row>
    <row r="25" spans="1:3" ht="48" customHeight="1" x14ac:dyDescent="0.2">
      <c r="A25" s="589" t="s">
        <v>1245</v>
      </c>
      <c r="B25" s="589"/>
      <c r="C25" s="589"/>
    </row>
    <row r="26" spans="1:3" ht="30" customHeight="1" x14ac:dyDescent="0.2">
      <c r="A26" s="590" t="s">
        <v>1071</v>
      </c>
      <c r="B26" s="590"/>
      <c r="C26" s="590"/>
    </row>
    <row r="27" spans="1:3" ht="15.75" x14ac:dyDescent="0.2">
      <c r="A27" s="593" t="s">
        <v>753</v>
      </c>
      <c r="B27" s="593"/>
      <c r="C27" s="593"/>
    </row>
    <row r="28" spans="1:3" ht="15.75" x14ac:dyDescent="0.2">
      <c r="A28" s="220"/>
      <c r="B28" s="220"/>
      <c r="C28" s="220"/>
    </row>
    <row r="29" spans="1:3" ht="15.75" x14ac:dyDescent="0.25">
      <c r="A29" s="221" t="s">
        <v>754</v>
      </c>
      <c r="B29" s="222"/>
      <c r="C29" s="221"/>
    </row>
    <row r="30" spans="1:3" ht="15.75" x14ac:dyDescent="0.2">
      <c r="A30" s="594"/>
      <c r="B30" s="589"/>
      <c r="C30" s="589"/>
    </row>
    <row r="31" spans="1:3" ht="15.75" x14ac:dyDescent="0.25">
      <c r="A31" s="221"/>
      <c r="B31" s="223">
        <f>НМЦК!K299</f>
        <v>1898758463.76</v>
      </c>
      <c r="C31" s="221" t="s">
        <v>755</v>
      </c>
    </row>
    <row r="36" spans="1:14" ht="15.75" x14ac:dyDescent="0.2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</row>
    <row r="37" spans="1:14" ht="15.75" x14ac:dyDescent="0.2">
      <c r="A37" s="588"/>
      <c r="B37" s="588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</row>
  </sheetData>
  <mergeCells count="29">
    <mergeCell ref="A6:C6"/>
    <mergeCell ref="A1:C1"/>
    <mergeCell ref="A2:C2"/>
    <mergeCell ref="A3:C3"/>
    <mergeCell ref="A4:C4"/>
    <mergeCell ref="A5:C5"/>
    <mergeCell ref="A23:C23"/>
    <mergeCell ref="A7:C7"/>
    <mergeCell ref="A8:C8"/>
    <mergeCell ref="A9:C9"/>
    <mergeCell ref="A13:C13"/>
    <mergeCell ref="A14:C14"/>
    <mergeCell ref="A10:C10"/>
    <mergeCell ref="A36:N36"/>
    <mergeCell ref="A37:N37"/>
    <mergeCell ref="A11:C11"/>
    <mergeCell ref="A12:C12"/>
    <mergeCell ref="A17:C17"/>
    <mergeCell ref="A18:C18"/>
    <mergeCell ref="A25:C25"/>
    <mergeCell ref="A26:C26"/>
    <mergeCell ref="A16:C16"/>
    <mergeCell ref="A24:C24"/>
    <mergeCell ref="A15:C15"/>
    <mergeCell ref="A27:C27"/>
    <mergeCell ref="A30:C30"/>
    <mergeCell ref="A20:C20"/>
    <mergeCell ref="A21:C21"/>
    <mergeCell ref="A22:C22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view="pageBreakPreview" zoomScaleNormal="100" zoomScaleSheetLayoutView="100" workbookViewId="0">
      <selection activeCell="N19" sqref="A1:N19"/>
    </sheetView>
  </sheetViews>
  <sheetFormatPr defaultRowHeight="12.75" x14ac:dyDescent="0.2"/>
  <cols>
    <col min="1" max="1" width="11.28515625" style="178" bestFit="1" customWidth="1"/>
    <col min="2" max="2" width="21.85546875" hidden="1" customWidth="1"/>
    <col min="3" max="3" width="54.42578125" customWidth="1"/>
    <col min="4" max="4" width="19" hidden="1" customWidth="1"/>
    <col min="5" max="5" width="14.85546875" style="112" hidden="1" customWidth="1"/>
    <col min="6" max="6" width="18" style="112" hidden="1" customWidth="1"/>
    <col min="7" max="7" width="14.85546875" style="112" hidden="1" customWidth="1"/>
    <col min="8" max="8" width="19.7109375" hidden="1" customWidth="1"/>
    <col min="9" max="9" width="14.85546875" style="112" hidden="1" customWidth="1"/>
    <col min="10" max="11" width="19.7109375" hidden="1" customWidth="1"/>
    <col min="12" max="14" width="19.7109375" customWidth="1"/>
    <col min="15" max="16" width="20.28515625" customWidth="1"/>
    <col min="17" max="17" width="12.7109375" bestFit="1" customWidth="1"/>
    <col min="18" max="18" width="12.7109375" customWidth="1"/>
    <col min="19" max="19" width="16.7109375" customWidth="1"/>
    <col min="20" max="20" width="21.28515625" customWidth="1"/>
    <col min="21" max="21" width="17.28515625" customWidth="1"/>
  </cols>
  <sheetData>
    <row r="1" spans="1:18" ht="29.25" customHeight="1" x14ac:dyDescent="0.2">
      <c r="A1" s="604" t="s">
        <v>737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8" ht="29.25" hidden="1" customHeight="1" x14ac:dyDescent="0.2">
      <c r="A2" s="200"/>
      <c r="B2" s="200"/>
      <c r="C2" s="200"/>
      <c r="D2" s="201"/>
      <c r="E2" s="200"/>
      <c r="F2" s="201"/>
      <c r="G2" s="200"/>
      <c r="H2" s="200"/>
      <c r="I2" s="200"/>
      <c r="J2" s="200"/>
      <c r="K2" s="200"/>
      <c r="L2" s="200"/>
      <c r="M2" s="200"/>
      <c r="N2" s="200"/>
    </row>
    <row r="3" spans="1:18" ht="39" customHeight="1" x14ac:dyDescent="0.2">
      <c r="A3" s="202" t="s">
        <v>581</v>
      </c>
      <c r="B3" s="605" t="str">
        <f>НМЦК!C3</f>
        <v>Разработка ПСД объектов всесезонного туристско-рекреационного комплекса «Мамисон» (поселок Калак, этап 1)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18" ht="29.25" hidden="1" customHeight="1" x14ac:dyDescent="0.25">
      <c r="A4" s="203" t="s">
        <v>582</v>
      </c>
      <c r="B4" s="203" t="s">
        <v>738</v>
      </c>
      <c r="C4" s="203"/>
      <c r="D4" s="204"/>
      <c r="E4" s="203"/>
      <c r="F4" s="204"/>
      <c r="G4" s="203"/>
      <c r="H4" s="109"/>
      <c r="I4" s="203"/>
      <c r="J4" s="109"/>
      <c r="K4" s="109"/>
      <c r="L4" s="109"/>
      <c r="M4" s="109"/>
      <c r="N4" s="109"/>
    </row>
    <row r="5" spans="1:18" ht="29.25" hidden="1" customHeight="1" x14ac:dyDescent="0.25">
      <c r="A5" s="205" t="s">
        <v>583</v>
      </c>
      <c r="B5" s="206"/>
      <c r="C5" s="206"/>
      <c r="D5" s="207"/>
      <c r="E5" s="206"/>
      <c r="F5" s="207"/>
      <c r="G5" s="206"/>
      <c r="H5" s="109"/>
      <c r="I5" s="206"/>
      <c r="J5" s="109"/>
      <c r="K5" s="109"/>
      <c r="L5" s="109"/>
      <c r="M5" s="109"/>
      <c r="N5" s="109"/>
    </row>
    <row r="6" spans="1:18" ht="29.25" hidden="1" customHeight="1" x14ac:dyDescent="0.2">
      <c r="A6" s="208" t="s">
        <v>584</v>
      </c>
      <c r="B6" s="208"/>
      <c r="C6" s="209"/>
      <c r="D6" s="209"/>
      <c r="E6" s="209"/>
      <c r="F6" s="209"/>
      <c r="G6" s="210"/>
      <c r="H6" s="210"/>
      <c r="I6" s="210"/>
      <c r="J6" s="210"/>
      <c r="K6" s="210"/>
      <c r="L6" s="210"/>
      <c r="M6" s="210"/>
      <c r="N6" s="210"/>
    </row>
    <row r="7" spans="1:18" ht="29.25" hidden="1" customHeight="1" x14ac:dyDescent="0.2">
      <c r="A7" s="606" t="s">
        <v>739</v>
      </c>
      <c r="B7" s="606"/>
      <c r="C7" s="606"/>
      <c r="D7" s="606"/>
      <c r="E7" s="606"/>
      <c r="F7" s="606"/>
      <c r="G7" s="606"/>
      <c r="H7" s="606"/>
      <c r="I7"/>
    </row>
    <row r="8" spans="1:18" ht="29.25" hidden="1" customHeight="1" x14ac:dyDescent="0.2">
      <c r="A8" s="606" t="s">
        <v>740</v>
      </c>
      <c r="B8" s="606"/>
      <c r="C8" s="606"/>
      <c r="D8" s="606"/>
      <c r="E8" s="606"/>
      <c r="F8" s="606"/>
      <c r="G8" s="606"/>
      <c r="H8" s="606"/>
      <c r="I8"/>
    </row>
    <row r="9" spans="1:18" ht="32.25" customHeight="1" x14ac:dyDescent="0.2">
      <c r="A9" s="609" t="s">
        <v>15</v>
      </c>
      <c r="B9" s="211" t="s">
        <v>705</v>
      </c>
      <c r="C9" s="607" t="s">
        <v>741</v>
      </c>
      <c r="D9" s="607" t="s">
        <v>702</v>
      </c>
      <c r="E9" s="607" t="s">
        <v>703</v>
      </c>
      <c r="F9" s="212" t="s">
        <v>586</v>
      </c>
      <c r="G9" s="212" t="s">
        <v>587</v>
      </c>
      <c r="H9" s="212" t="s">
        <v>742</v>
      </c>
      <c r="I9" s="212" t="s">
        <v>588</v>
      </c>
      <c r="J9" s="212" t="s">
        <v>589</v>
      </c>
      <c r="K9" s="611" t="s">
        <v>743</v>
      </c>
      <c r="L9" s="612"/>
      <c r="M9" s="607" t="s">
        <v>656</v>
      </c>
      <c r="N9" s="607" t="s">
        <v>744</v>
      </c>
    </row>
    <row r="10" spans="1:18" ht="31.5" customHeight="1" x14ac:dyDescent="0.2">
      <c r="A10" s="610"/>
      <c r="B10" s="211"/>
      <c r="C10" s="608"/>
      <c r="D10" s="608"/>
      <c r="E10" s="608"/>
      <c r="F10" s="212"/>
      <c r="G10" s="212"/>
      <c r="H10" s="212"/>
      <c r="I10" s="212"/>
      <c r="J10" s="212"/>
      <c r="K10" s="613"/>
      <c r="L10" s="614"/>
      <c r="M10" s="608"/>
      <c r="N10" s="608"/>
    </row>
    <row r="11" spans="1:18" ht="15.75" x14ac:dyDescent="0.2">
      <c r="A11" s="211">
        <v>1</v>
      </c>
      <c r="B11" s="211"/>
      <c r="C11" s="211">
        <v>2</v>
      </c>
      <c r="D11" s="213">
        <v>3</v>
      </c>
      <c r="E11" s="213">
        <v>4</v>
      </c>
      <c r="F11" s="213">
        <v>3</v>
      </c>
      <c r="G11" s="213">
        <v>4</v>
      </c>
      <c r="H11" s="213">
        <v>5</v>
      </c>
      <c r="I11" s="213">
        <v>6</v>
      </c>
      <c r="J11" s="213">
        <v>7</v>
      </c>
      <c r="K11" s="213">
        <v>5</v>
      </c>
      <c r="L11" s="213">
        <v>3</v>
      </c>
      <c r="M11" s="213">
        <v>4</v>
      </c>
      <c r="N11" s="213">
        <v>5</v>
      </c>
    </row>
    <row r="12" spans="1:18" s="215" customFormat="1" ht="22.15" customHeight="1" x14ac:dyDescent="0.2">
      <c r="A12" s="352">
        <v>1</v>
      </c>
      <c r="B12" s="352"/>
      <c r="C12" s="351" t="s">
        <v>592</v>
      </c>
      <c r="D12" s="405" t="s">
        <v>704</v>
      </c>
      <c r="E12" s="409">
        <v>1</v>
      </c>
      <c r="F12" s="409" t="e">
        <f>#REF!+#REF!</f>
        <v>#REF!</v>
      </c>
      <c r="G12" s="410" t="e">
        <f>#REF!</f>
        <v>#REF!</v>
      </c>
      <c r="H12" s="411" t="e">
        <f>#REF!+#REF!</f>
        <v>#REF!</v>
      </c>
      <c r="I12" s="410" t="e">
        <f>[8]Дефляторы!#REF!</f>
        <v>#REF!</v>
      </c>
      <c r="J12" s="411" t="e">
        <f>#REF!+#REF!</f>
        <v>#REF!</v>
      </c>
      <c r="K12" s="412">
        <f>L12/E12</f>
        <v>72807720.870000005</v>
      </c>
      <c r="L12" s="416">
        <f>НМЦК!K12</f>
        <v>72807720.870000005</v>
      </c>
      <c r="M12" s="416">
        <f>L12*20%</f>
        <v>14561544.17</v>
      </c>
      <c r="N12" s="416">
        <f>L12+M12</f>
        <v>87369265.040000007</v>
      </c>
    </row>
    <row r="13" spans="1:18" s="215" customFormat="1" ht="51.75" customHeight="1" x14ac:dyDescent="0.2">
      <c r="A13" s="413" t="s">
        <v>594</v>
      </c>
      <c r="B13" s="413"/>
      <c r="C13" s="351" t="s">
        <v>1246</v>
      </c>
      <c r="D13" s="405" t="s">
        <v>704</v>
      </c>
      <c r="E13" s="409">
        <v>1</v>
      </c>
      <c r="F13" s="409" t="e">
        <f>(#REF!+#REF!+#REF!+#REF!+#REF!+#REF!+#REF!+#REF!+#REF!+#REF!+#REF!+#REF!+#REF!+#REF!+#REF!+#REF!+#REF!+#REF!+#REF!+#REF!+#REF!)</f>
        <v>#REF!</v>
      </c>
      <c r="G13" s="410"/>
      <c r="H13" s="411" t="e">
        <f>(#REF!+#REF!+#REF!+#REF!+#REF!+#REF!+#REF!+#REF!+#REF!+#REF!+#REF!+#REF!+#REF!+#REF!+#REF!+#REF!+#REF!+#REF!+#REF!+#REF!+#REF!)</f>
        <v>#REF!</v>
      </c>
      <c r="I13" s="410"/>
      <c r="J13" s="411" t="e">
        <f>(#REF!+#REF!+#REF!+#REF!+#REF!+#REF!+#REF!+#REF!+#REF!+#REF!+#REF!+#REF!+#REF!+#REF!+#REF!+#REF!+#REF!+#REF!+#REF!+#REF!+#REF!)</f>
        <v>#REF!</v>
      </c>
      <c r="K13" s="412">
        <f t="shared" ref="K13:K14" si="0">L13/E13</f>
        <v>1509490998.9300001</v>
      </c>
      <c r="L13" s="416">
        <f>НМЦК!K15+НМЦК!K287</f>
        <v>1509490998.9300001</v>
      </c>
      <c r="M13" s="416">
        <f>L13*20%</f>
        <v>301898199.79000002</v>
      </c>
      <c r="N13" s="416">
        <f>L13+M13</f>
        <v>1811389198.72</v>
      </c>
    </row>
    <row r="14" spans="1:18" s="219" customFormat="1" ht="28.9" hidden="1" customHeight="1" x14ac:dyDescent="0.2">
      <c r="A14" s="414" t="s">
        <v>623</v>
      </c>
      <c r="B14" s="415"/>
      <c r="C14" s="353" t="s">
        <v>693</v>
      </c>
      <c r="D14" s="405" t="s">
        <v>704</v>
      </c>
      <c r="E14" s="409">
        <v>1</v>
      </c>
      <c r="F14" s="409" t="e">
        <f>#REF!+#REF!+#REF!+#REF!</f>
        <v>#REF!</v>
      </c>
      <c r="G14" s="410"/>
      <c r="H14" s="409" t="e">
        <f>#REF!+#REF!+#REF!+#REF!</f>
        <v>#REF!</v>
      </c>
      <c r="I14" s="410"/>
      <c r="J14" s="409" t="e">
        <f>#REF!+#REF!+#REF!+#REF!</f>
        <v>#REF!</v>
      </c>
      <c r="K14" s="416">
        <f t="shared" si="0"/>
        <v>0</v>
      </c>
      <c r="L14" s="416"/>
      <c r="M14" s="416">
        <f>L14*20%</f>
        <v>0</v>
      </c>
      <c r="N14" s="416">
        <f>L14+M14</f>
        <v>0</v>
      </c>
    </row>
    <row r="15" spans="1:18" s="219" customFormat="1" ht="28.9" hidden="1" customHeight="1" x14ac:dyDescent="0.2">
      <c r="A15" s="216" t="s">
        <v>624</v>
      </c>
      <c r="B15" s="217"/>
      <c r="C15" s="218" t="s">
        <v>694</v>
      </c>
      <c r="D15" s="194"/>
      <c r="E15" s="214"/>
      <c r="F15" s="214"/>
      <c r="G15" s="118"/>
      <c r="H15" s="214"/>
      <c r="I15" s="118"/>
      <c r="J15" s="214"/>
      <c r="K15" s="195"/>
      <c r="L15" s="214"/>
      <c r="M15" s="195">
        <f>L15*20%</f>
        <v>0</v>
      </c>
      <c r="N15" s="195">
        <f>L15+M15</f>
        <v>0</v>
      </c>
    </row>
    <row r="16" spans="1:18" ht="32.25" customHeight="1" x14ac:dyDescent="0.2">
      <c r="A16" s="417"/>
      <c r="B16" s="417"/>
      <c r="C16" s="420" t="s">
        <v>711</v>
      </c>
      <c r="D16" s="417"/>
      <c r="E16" s="421"/>
      <c r="F16" s="418" t="e">
        <f>F12+F13+F14</f>
        <v>#REF!</v>
      </c>
      <c r="G16" s="419"/>
      <c r="H16" s="418" t="e">
        <f>H12+H13+H14</f>
        <v>#REF!</v>
      </c>
      <c r="I16" s="419"/>
      <c r="J16" s="418" t="e">
        <f>J12+J13+J14</f>
        <v>#REF!</v>
      </c>
      <c r="K16" s="418"/>
      <c r="L16" s="422">
        <f>L12+L13+L14</f>
        <v>1582298719.8</v>
      </c>
      <c r="M16" s="422">
        <f>M12+M13+M14+M15</f>
        <v>316459743.95999998</v>
      </c>
      <c r="N16" s="422">
        <f>N12+N13+N14+N15</f>
        <v>1898758463.76</v>
      </c>
      <c r="Q16" s="423"/>
      <c r="R16" s="423"/>
    </row>
    <row r="17" spans="1:21" ht="15.75" x14ac:dyDescent="0.2">
      <c r="A17" s="462"/>
      <c r="B17" s="463"/>
      <c r="C17" s="457" t="s">
        <v>706</v>
      </c>
      <c r="D17" s="458"/>
      <c r="E17" s="459"/>
      <c r="F17" s="459"/>
      <c r="G17" s="460"/>
      <c r="H17" s="459"/>
      <c r="I17" s="460"/>
      <c r="J17" s="459"/>
      <c r="K17" s="461"/>
      <c r="L17" s="458">
        <f>НМЦК!L297</f>
        <v>99871120.219999999</v>
      </c>
      <c r="M17" s="461">
        <f>L17*20%</f>
        <v>19974224.039999999</v>
      </c>
      <c r="N17" s="461">
        <f>L17+M17</f>
        <v>119845344.26000001</v>
      </c>
    </row>
    <row r="18" spans="1:21" s="112" customFormat="1" ht="15.75" x14ac:dyDescent="0.25">
      <c r="A18" s="464"/>
      <c r="B18" s="465"/>
      <c r="C18" s="466" t="s">
        <v>1069</v>
      </c>
      <c r="D18" s="467"/>
      <c r="E18" s="468"/>
      <c r="F18" s="468"/>
      <c r="G18" s="469"/>
      <c r="H18" s="470"/>
      <c r="I18" s="469"/>
      <c r="J18" s="470"/>
      <c r="K18" s="470"/>
      <c r="L18" s="516">
        <f>НМЦК!K14+НМЦК!K286+НМЦК!K296</f>
        <v>31483962.190000001</v>
      </c>
      <c r="M18" s="461">
        <f>L18*20%</f>
        <v>6296792.4400000004</v>
      </c>
      <c r="N18" s="516">
        <f>L18+M18</f>
        <v>37780754.630000003</v>
      </c>
    </row>
    <row r="19" spans="1:21" s="112" customFormat="1" ht="15.75" x14ac:dyDescent="0.25">
      <c r="A19" s="464"/>
      <c r="B19" s="465"/>
      <c r="C19" s="466" t="s">
        <v>1070</v>
      </c>
      <c r="D19" s="467"/>
      <c r="E19" s="468"/>
      <c r="F19" s="468"/>
      <c r="G19" s="469"/>
      <c r="H19" s="470"/>
      <c r="I19" s="469"/>
      <c r="J19" s="470"/>
      <c r="K19" s="470"/>
      <c r="L19" s="516">
        <f>НМЦК!K297-НМЦК!F297</f>
        <v>190197314.91999999</v>
      </c>
      <c r="M19" s="461">
        <f>L19*20%</f>
        <v>38039462.979999997</v>
      </c>
      <c r="N19" s="516">
        <f>L19+M19</f>
        <v>228236777.90000001</v>
      </c>
    </row>
    <row r="20" spans="1:21" s="112" customFormat="1" x14ac:dyDescent="0.2">
      <c r="A20" s="178"/>
      <c r="B20" t="s">
        <v>745</v>
      </c>
      <c r="C20"/>
      <c r="D20"/>
      <c r="H20"/>
      <c r="J20"/>
      <c r="K20"/>
      <c r="L20"/>
      <c r="M20"/>
      <c r="N20"/>
    </row>
    <row r="21" spans="1:21" ht="15.75" x14ac:dyDescent="0.25">
      <c r="C21" s="109"/>
      <c r="D21" s="109"/>
      <c r="E21" s="520"/>
      <c r="F21" s="520"/>
      <c r="G21" s="520"/>
      <c r="H21" s="109"/>
      <c r="I21" s="520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</row>
    <row r="22" spans="1:21" s="112" customFormat="1" ht="15.75" x14ac:dyDescent="0.25">
      <c r="A22" s="178"/>
      <c r="B22" t="s">
        <v>746</v>
      </c>
      <c r="C22" s="603" t="s">
        <v>1199</v>
      </c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520"/>
      <c r="P22" s="520"/>
      <c r="Q22" s="520"/>
      <c r="R22" s="520"/>
      <c r="S22" s="520"/>
      <c r="T22" s="520"/>
      <c r="U22" s="520"/>
    </row>
    <row r="23" spans="1:21" ht="15.75" x14ac:dyDescent="0.25">
      <c r="C23" s="109"/>
      <c r="D23" s="109"/>
      <c r="E23" s="520"/>
      <c r="F23" s="520"/>
      <c r="G23" s="520"/>
      <c r="H23" s="109"/>
      <c r="I23" s="520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</row>
    <row r="24" spans="1:21" ht="113.25" customHeight="1" x14ac:dyDescent="0.25">
      <c r="C24" s="129" t="s">
        <v>1194</v>
      </c>
      <c r="D24" s="109"/>
      <c r="E24" s="520"/>
      <c r="F24" s="520"/>
      <c r="G24" s="520"/>
      <c r="H24" s="109"/>
      <c r="I24" s="520"/>
      <c r="J24" s="109"/>
      <c r="K24" s="109"/>
      <c r="L24" s="521" t="s">
        <v>1195</v>
      </c>
      <c r="M24" s="521" t="s">
        <v>1196</v>
      </c>
      <c r="N24" s="521" t="s">
        <v>1202</v>
      </c>
      <c r="O24" s="521" t="s">
        <v>1203</v>
      </c>
      <c r="P24" s="521" t="s">
        <v>1211</v>
      </c>
      <c r="Q24" s="521" t="s">
        <v>1204</v>
      </c>
      <c r="R24" s="521" t="s">
        <v>1212</v>
      </c>
      <c r="S24" s="521" t="s">
        <v>1205</v>
      </c>
      <c r="T24" s="521" t="s">
        <v>1213</v>
      </c>
      <c r="U24" s="521" t="s">
        <v>1214</v>
      </c>
    </row>
    <row r="25" spans="1:21" ht="15.75" x14ac:dyDescent="0.25">
      <c r="C25" s="519" t="s">
        <v>592</v>
      </c>
      <c r="D25" s="109"/>
      <c r="E25" s="520"/>
      <c r="F25" s="520"/>
      <c r="G25" s="520"/>
      <c r="H25" s="109"/>
      <c r="I25" s="520"/>
      <c r="J25" s="109"/>
      <c r="K25" s="109"/>
      <c r="L25" s="526">
        <v>4.2699999999999996</v>
      </c>
      <c r="M25" s="526">
        <v>32.880000000000003</v>
      </c>
      <c r="N25" s="522"/>
      <c r="O25" s="496"/>
      <c r="P25" s="496"/>
      <c r="Q25" s="496"/>
      <c r="R25" s="496"/>
      <c r="S25" s="496"/>
      <c r="T25" s="496"/>
      <c r="U25" s="489">
        <f>НМЦК!N13</f>
        <v>1.1214519000000001</v>
      </c>
    </row>
    <row r="26" spans="1:21" ht="15.75" x14ac:dyDescent="0.25">
      <c r="C26" s="496" t="s">
        <v>1197</v>
      </c>
      <c r="D26" s="496"/>
      <c r="E26" s="523"/>
      <c r="F26" s="523"/>
      <c r="G26" s="523"/>
      <c r="H26" s="496"/>
      <c r="I26" s="523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528">
        <f>НМЦК!N17</f>
        <v>1.1523705</v>
      </c>
    </row>
    <row r="27" spans="1:21" ht="15.75" x14ac:dyDescent="0.25">
      <c r="C27" s="527" t="s">
        <v>1206</v>
      </c>
      <c r="D27" s="496"/>
      <c r="E27" s="523"/>
      <c r="F27" s="523"/>
      <c r="G27" s="523"/>
      <c r="H27" s="496"/>
      <c r="I27" s="523"/>
      <c r="J27" s="496"/>
      <c r="K27" s="496"/>
      <c r="L27" s="496"/>
      <c r="M27" s="496"/>
      <c r="N27" s="129">
        <v>8.1</v>
      </c>
      <c r="O27" s="496"/>
      <c r="P27" s="496"/>
      <c r="Q27" s="496"/>
      <c r="R27" s="496"/>
      <c r="S27" s="496"/>
      <c r="T27" s="496"/>
      <c r="U27" s="528">
        <f t="shared" ref="U27:U37" si="1">U26</f>
        <v>1.1523705</v>
      </c>
    </row>
    <row r="28" spans="1:21" ht="15.75" x14ac:dyDescent="0.25">
      <c r="C28" s="527" t="s">
        <v>1207</v>
      </c>
      <c r="D28" s="496"/>
      <c r="E28" s="523"/>
      <c r="F28" s="523"/>
      <c r="G28" s="523"/>
      <c r="H28" s="496"/>
      <c r="I28" s="523"/>
      <c r="J28" s="496"/>
      <c r="K28" s="496"/>
      <c r="L28" s="496"/>
      <c r="M28" s="496"/>
      <c r="N28" s="489">
        <v>5.55</v>
      </c>
      <c r="O28" s="496"/>
      <c r="P28" s="496"/>
      <c r="Q28" s="496"/>
      <c r="R28" s="496"/>
      <c r="S28" s="496"/>
      <c r="T28" s="496"/>
      <c r="U28" s="528">
        <f t="shared" si="1"/>
        <v>1.1523705</v>
      </c>
    </row>
    <row r="29" spans="1:21" ht="15.75" x14ac:dyDescent="0.25">
      <c r="C29" s="527" t="s">
        <v>1208</v>
      </c>
      <c r="D29" s="496"/>
      <c r="E29" s="523"/>
      <c r="F29" s="523"/>
      <c r="G29" s="523"/>
      <c r="H29" s="496"/>
      <c r="I29" s="523"/>
      <c r="J29" s="496"/>
      <c r="K29" s="496"/>
      <c r="L29" s="496"/>
      <c r="M29" s="496"/>
      <c r="N29" s="489">
        <v>8.98</v>
      </c>
      <c r="O29" s="496"/>
      <c r="P29" s="496"/>
      <c r="Q29" s="496"/>
      <c r="R29" s="496"/>
      <c r="S29" s="496"/>
      <c r="T29" s="496"/>
      <c r="U29" s="528">
        <f t="shared" si="1"/>
        <v>1.1523705</v>
      </c>
    </row>
    <row r="30" spans="1:21" ht="15.75" x14ac:dyDescent="0.25">
      <c r="C30" s="527" t="s">
        <v>1209</v>
      </c>
      <c r="D30" s="496"/>
      <c r="E30" s="523"/>
      <c r="F30" s="523"/>
      <c r="G30" s="523"/>
      <c r="H30" s="496"/>
      <c r="I30" s="523"/>
      <c r="J30" s="496"/>
      <c r="K30" s="496"/>
      <c r="L30" s="496"/>
      <c r="M30" s="496"/>
      <c r="N30" s="129">
        <v>5.99</v>
      </c>
      <c r="O30" s="496"/>
      <c r="P30" s="496"/>
      <c r="Q30" s="496"/>
      <c r="R30" s="496"/>
      <c r="S30" s="496"/>
      <c r="T30" s="496"/>
      <c r="U30" s="528">
        <f t="shared" si="1"/>
        <v>1.1523705</v>
      </c>
    </row>
    <row r="31" spans="1:21" ht="15.75" x14ac:dyDescent="0.25">
      <c r="C31" s="527" t="s">
        <v>1210</v>
      </c>
      <c r="D31" s="496"/>
      <c r="E31" s="523"/>
      <c r="F31" s="523"/>
      <c r="G31" s="523"/>
      <c r="H31" s="496"/>
      <c r="I31" s="523"/>
      <c r="J31" s="496"/>
      <c r="K31" s="496"/>
      <c r="L31" s="496"/>
      <c r="M31" s="496"/>
      <c r="N31" s="129">
        <v>7.99</v>
      </c>
      <c r="O31" s="496"/>
      <c r="P31" s="496"/>
      <c r="Q31" s="496"/>
      <c r="R31" s="496"/>
      <c r="S31" s="496"/>
      <c r="T31" s="496"/>
      <c r="U31" s="528">
        <f t="shared" si="1"/>
        <v>1.1523705</v>
      </c>
    </row>
    <row r="32" spans="1:21" ht="15.75" x14ac:dyDescent="0.25">
      <c r="C32" s="496" t="s">
        <v>132</v>
      </c>
      <c r="D32" s="496"/>
      <c r="E32" s="523"/>
      <c r="F32" s="523"/>
      <c r="G32" s="523"/>
      <c r="H32" s="496"/>
      <c r="I32" s="523"/>
      <c r="J32" s="496"/>
      <c r="K32" s="496"/>
      <c r="L32" s="496"/>
      <c r="M32" s="496"/>
      <c r="N32" s="129"/>
      <c r="O32" s="489">
        <v>4.09</v>
      </c>
      <c r="P32" s="489"/>
      <c r="Q32" s="496"/>
      <c r="R32" s="496"/>
      <c r="S32" s="496"/>
      <c r="T32" s="496"/>
      <c r="U32" s="528">
        <f t="shared" si="1"/>
        <v>1.1523705</v>
      </c>
    </row>
    <row r="33" spans="3:21" ht="15.75" x14ac:dyDescent="0.25">
      <c r="C33" s="496" t="s">
        <v>194</v>
      </c>
      <c r="D33" s="496"/>
      <c r="E33" s="523"/>
      <c r="F33" s="523"/>
      <c r="G33" s="523"/>
      <c r="H33" s="496"/>
      <c r="I33" s="523"/>
      <c r="J33" s="496"/>
      <c r="K33" s="496"/>
      <c r="L33" s="496"/>
      <c r="M33" s="496"/>
      <c r="N33" s="129"/>
      <c r="O33" s="496"/>
      <c r="P33" s="496"/>
      <c r="Q33" s="489">
        <v>10.79</v>
      </c>
      <c r="R33" s="489"/>
      <c r="S33" s="496"/>
      <c r="T33" s="496"/>
      <c r="U33" s="528">
        <f t="shared" si="1"/>
        <v>1.1523705</v>
      </c>
    </row>
    <row r="34" spans="3:21" ht="15.75" x14ac:dyDescent="0.25">
      <c r="C34" s="496" t="s">
        <v>693</v>
      </c>
      <c r="D34" s="496"/>
      <c r="E34" s="523"/>
      <c r="F34" s="523"/>
      <c r="G34" s="523"/>
      <c r="H34" s="496"/>
      <c r="I34" s="523"/>
      <c r="J34" s="496"/>
      <c r="K34" s="496"/>
      <c r="L34" s="496"/>
      <c r="M34" s="496"/>
      <c r="N34" s="129"/>
      <c r="O34" s="496"/>
      <c r="P34" s="496"/>
      <c r="Q34" s="496"/>
      <c r="R34" s="129">
        <v>15.92</v>
      </c>
      <c r="S34" s="496"/>
      <c r="T34" s="496"/>
      <c r="U34" s="528">
        <f t="shared" si="1"/>
        <v>1.1523705</v>
      </c>
    </row>
    <row r="35" spans="3:21" ht="27.75" customHeight="1" x14ac:dyDescent="0.25">
      <c r="C35" s="122" t="s">
        <v>1198</v>
      </c>
      <c r="D35" s="122"/>
      <c r="E35" s="406"/>
      <c r="F35" s="406"/>
      <c r="G35" s="406"/>
      <c r="H35" s="122"/>
      <c r="I35" s="406"/>
      <c r="J35" s="122"/>
      <c r="K35" s="122"/>
      <c r="L35" s="122"/>
      <c r="M35" s="122"/>
      <c r="N35" s="129"/>
      <c r="O35" s="496"/>
      <c r="P35" s="129">
        <v>4.3499999999999996</v>
      </c>
      <c r="Q35" s="496"/>
      <c r="R35" s="496"/>
      <c r="S35" s="496"/>
      <c r="T35" s="496"/>
      <c r="U35" s="528">
        <f t="shared" si="1"/>
        <v>1.1523705</v>
      </c>
    </row>
    <row r="36" spans="3:21" ht="16.5" customHeight="1" x14ac:dyDescent="0.25">
      <c r="C36" s="524" t="s">
        <v>1201</v>
      </c>
      <c r="D36" s="496"/>
      <c r="E36" s="523"/>
      <c r="F36" s="523"/>
      <c r="G36" s="523"/>
      <c r="H36" s="496"/>
      <c r="I36" s="523"/>
      <c r="J36" s="496"/>
      <c r="K36" s="496"/>
      <c r="L36" s="496"/>
      <c r="M36" s="496"/>
      <c r="N36" s="129"/>
      <c r="O36" s="496"/>
      <c r="P36" s="496"/>
      <c r="Q36" s="496"/>
      <c r="R36" s="496"/>
      <c r="S36" s="129">
        <v>10.79</v>
      </c>
      <c r="T36" s="496"/>
      <c r="U36" s="528">
        <f t="shared" si="1"/>
        <v>1.1523705</v>
      </c>
    </row>
    <row r="37" spans="3:21" ht="31.5" x14ac:dyDescent="0.25">
      <c r="C37" s="525" t="s">
        <v>1200</v>
      </c>
      <c r="D37" s="496"/>
      <c r="E37" s="523"/>
      <c r="F37" s="523"/>
      <c r="G37" s="523"/>
      <c r="H37" s="496"/>
      <c r="I37" s="523"/>
      <c r="J37" s="496"/>
      <c r="K37" s="496"/>
      <c r="L37" s="496"/>
      <c r="M37" s="496"/>
      <c r="N37" s="129"/>
      <c r="O37" s="496"/>
      <c r="P37" s="496"/>
      <c r="Q37" s="496"/>
      <c r="R37" s="496"/>
      <c r="S37" s="496"/>
      <c r="T37" s="129">
        <v>4.3499999999999996</v>
      </c>
      <c r="U37" s="528">
        <f t="shared" si="1"/>
        <v>1.1523705</v>
      </c>
    </row>
  </sheetData>
  <mergeCells count="12">
    <mergeCell ref="C22:N22"/>
    <mergeCell ref="A1:N1"/>
    <mergeCell ref="B3:N3"/>
    <mergeCell ref="A7:H7"/>
    <mergeCell ref="A8:H8"/>
    <mergeCell ref="M9:M10"/>
    <mergeCell ref="N9:N10"/>
    <mergeCell ref="A9:A10"/>
    <mergeCell ref="C9:C10"/>
    <mergeCell ref="D9:D10"/>
    <mergeCell ref="E9:E10"/>
    <mergeCell ref="K9:L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22" zoomScaleNormal="100" workbookViewId="0">
      <selection activeCell="M40" sqref="A1:M40"/>
    </sheetView>
  </sheetViews>
  <sheetFormatPr defaultColWidth="9.140625" defaultRowHeight="15" x14ac:dyDescent="0.25"/>
  <cols>
    <col min="1" max="6" width="9.140625" style="197"/>
    <col min="7" max="7" width="20.140625" style="197" customWidth="1"/>
    <col min="8" max="16384" width="9.140625" style="197"/>
  </cols>
  <sheetData>
    <row r="1" spans="1:17" ht="15.75" x14ac:dyDescent="0.25">
      <c r="A1" s="715" t="s">
        <v>712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4"/>
      <c r="O1" s="714"/>
      <c r="P1" s="486"/>
      <c r="Q1" s="486"/>
    </row>
    <row r="2" spans="1:17" ht="15.75" x14ac:dyDescent="0.25">
      <c r="A2" s="715" t="s">
        <v>713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4"/>
      <c r="O2" s="714"/>
      <c r="P2" s="486"/>
      <c r="Q2" s="486"/>
    </row>
    <row r="3" spans="1:17" ht="15.75" x14ac:dyDescent="0.25">
      <c r="A3" s="716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486"/>
      <c r="O3" s="486"/>
      <c r="P3" s="486"/>
      <c r="Q3" s="486"/>
    </row>
    <row r="4" spans="1:17" ht="15.75" x14ac:dyDescent="0.25">
      <c r="A4" s="716" t="s">
        <v>714</v>
      </c>
      <c r="B4" s="716"/>
      <c r="C4" s="716" t="str">
        <f>НМЦК!C3</f>
        <v>Разработка ПСД объектов всесезонного туристско-рекреационного комплекса «Мамисон» (поселок Калак, этап 1)</v>
      </c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486"/>
      <c r="O4" s="486"/>
      <c r="P4" s="486"/>
      <c r="Q4" s="486"/>
    </row>
    <row r="5" spans="1:17" ht="15.75" x14ac:dyDescent="0.25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486"/>
      <c r="O5" s="486"/>
      <c r="P5" s="486"/>
      <c r="Q5" s="486"/>
    </row>
    <row r="6" spans="1:17" ht="29.25" customHeight="1" x14ac:dyDescent="0.25">
      <c r="A6" s="717" t="s">
        <v>715</v>
      </c>
      <c r="B6" s="717"/>
      <c r="C6" s="717"/>
      <c r="D6" s="717"/>
      <c r="E6" s="717"/>
      <c r="F6" s="717"/>
      <c r="G6" s="718">
        <f>НМЦК!K299</f>
        <v>1898758463.76</v>
      </c>
      <c r="H6" s="719"/>
      <c r="I6" s="719"/>
      <c r="J6" s="719"/>
      <c r="K6" s="719"/>
      <c r="L6" s="719"/>
      <c r="M6" s="719"/>
      <c r="N6" s="575"/>
      <c r="O6" s="575"/>
      <c r="P6" s="486"/>
      <c r="Q6" s="486"/>
    </row>
    <row r="7" spans="1:17" ht="45" customHeight="1" x14ac:dyDescent="0.25">
      <c r="A7" s="720" t="s">
        <v>1243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12"/>
      <c r="O7" s="712"/>
      <c r="P7" s="486"/>
      <c r="Q7" s="486"/>
    </row>
    <row r="8" spans="1:17" ht="15.75" x14ac:dyDescent="0.25">
      <c r="A8" s="716" t="s">
        <v>716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486"/>
      <c r="O8" s="486"/>
      <c r="P8" s="486"/>
      <c r="Q8" s="486"/>
    </row>
    <row r="9" spans="1:17" ht="15.75" x14ac:dyDescent="0.25">
      <c r="A9" s="721" t="s">
        <v>717</v>
      </c>
      <c r="B9" s="721"/>
      <c r="C9" s="721"/>
      <c r="D9" s="721"/>
      <c r="E9" s="721"/>
      <c r="F9" s="716"/>
      <c r="G9" s="716"/>
      <c r="H9" s="716"/>
      <c r="I9" s="716"/>
      <c r="J9" s="716"/>
      <c r="K9" s="716"/>
      <c r="L9" s="716"/>
      <c r="M9" s="716"/>
      <c r="N9" s="486"/>
      <c r="O9" s="486"/>
      <c r="P9" s="486"/>
      <c r="Q9" s="486"/>
    </row>
    <row r="10" spans="1:17" ht="15.75" x14ac:dyDescent="0.25">
      <c r="A10" s="721" t="s">
        <v>718</v>
      </c>
      <c r="B10" s="721"/>
      <c r="C10" s="721"/>
      <c r="D10" s="721"/>
      <c r="E10" s="721"/>
      <c r="F10" s="721"/>
      <c r="G10" s="721"/>
      <c r="H10" s="721"/>
      <c r="I10" s="721"/>
      <c r="J10" s="716"/>
      <c r="K10" s="716"/>
      <c r="L10" s="716"/>
      <c r="M10" s="716"/>
      <c r="N10" s="486"/>
      <c r="O10" s="486"/>
      <c r="P10" s="486"/>
      <c r="Q10" s="486"/>
    </row>
    <row r="11" spans="1:17" ht="15.75" x14ac:dyDescent="0.25">
      <c r="A11" s="721" t="s">
        <v>719</v>
      </c>
      <c r="B11" s="721"/>
      <c r="C11" s="721"/>
      <c r="D11" s="721"/>
      <c r="E11" s="721"/>
      <c r="F11" s="721"/>
      <c r="G11" s="721"/>
      <c r="H11" s="721"/>
      <c r="I11" s="721"/>
      <c r="J11" s="716"/>
      <c r="K11" s="716"/>
      <c r="L11" s="716"/>
      <c r="M11" s="716"/>
      <c r="N11" s="486"/>
      <c r="O11" s="486"/>
      <c r="P11" s="486"/>
      <c r="Q11" s="486"/>
    </row>
    <row r="12" spans="1:17" ht="15.75" x14ac:dyDescent="0.25">
      <c r="A12" s="721" t="s">
        <v>720</v>
      </c>
      <c r="B12" s="721"/>
      <c r="C12" s="721"/>
      <c r="D12" s="721"/>
      <c r="E12" s="721"/>
      <c r="F12" s="721"/>
      <c r="G12" s="721"/>
      <c r="H12" s="721"/>
      <c r="I12" s="721"/>
      <c r="J12" s="716"/>
      <c r="K12" s="716"/>
      <c r="L12" s="716"/>
      <c r="M12" s="716"/>
      <c r="N12" s="486"/>
      <c r="O12" s="486"/>
      <c r="P12" s="486"/>
      <c r="Q12" s="486"/>
    </row>
    <row r="13" spans="1:17" ht="15.75" x14ac:dyDescent="0.25">
      <c r="A13" s="721" t="s">
        <v>721</v>
      </c>
      <c r="B13" s="721"/>
      <c r="C13" s="721"/>
      <c r="D13" s="721"/>
      <c r="E13" s="721"/>
      <c r="F13" s="721"/>
      <c r="G13" s="721"/>
      <c r="H13" s="721"/>
      <c r="I13" s="721"/>
      <c r="J13" s="716"/>
      <c r="K13" s="716"/>
      <c r="L13" s="716"/>
      <c r="M13" s="716"/>
      <c r="N13" s="486"/>
      <c r="O13" s="486"/>
      <c r="P13" s="486"/>
      <c r="Q13" s="486"/>
    </row>
    <row r="14" spans="1:17" ht="15.75" x14ac:dyDescent="0.25">
      <c r="A14" s="721" t="s">
        <v>722</v>
      </c>
      <c r="B14" s="721"/>
      <c r="C14" s="721"/>
      <c r="D14" s="721"/>
      <c r="E14" s="721"/>
      <c r="F14" s="721"/>
      <c r="G14" s="721"/>
      <c r="H14" s="721"/>
      <c r="I14" s="721"/>
      <c r="J14" s="716"/>
      <c r="K14" s="716"/>
      <c r="L14" s="716"/>
      <c r="M14" s="716"/>
      <c r="N14" s="486"/>
      <c r="O14" s="486"/>
      <c r="P14" s="486"/>
      <c r="Q14" s="486"/>
    </row>
    <row r="15" spans="1:17" ht="15.75" x14ac:dyDescent="0.25">
      <c r="A15" s="721" t="s">
        <v>723</v>
      </c>
      <c r="B15" s="721"/>
      <c r="C15" s="721"/>
      <c r="D15" s="721"/>
      <c r="E15" s="721"/>
      <c r="F15" s="721"/>
      <c r="G15" s="721"/>
      <c r="H15" s="721"/>
      <c r="I15" s="721"/>
      <c r="J15" s="716"/>
      <c r="K15" s="716"/>
      <c r="L15" s="716"/>
      <c r="M15" s="716"/>
      <c r="N15" s="486"/>
      <c r="O15" s="486"/>
      <c r="P15" s="486"/>
      <c r="Q15" s="486"/>
    </row>
    <row r="16" spans="1:17" s="198" customFormat="1" ht="15.75" x14ac:dyDescent="0.25">
      <c r="A16" s="721" t="s">
        <v>724</v>
      </c>
      <c r="B16" s="721"/>
      <c r="C16" s="721"/>
      <c r="D16" s="721"/>
      <c r="E16" s="721"/>
      <c r="F16" s="721"/>
      <c r="G16" s="721"/>
      <c r="H16" s="721"/>
      <c r="I16" s="721"/>
      <c r="J16" s="716"/>
      <c r="K16" s="716"/>
      <c r="L16" s="716"/>
      <c r="M16" s="716"/>
      <c r="N16" s="486"/>
      <c r="O16" s="486"/>
      <c r="P16" s="486"/>
      <c r="Q16" s="486"/>
    </row>
    <row r="17" spans="1:17" s="198" customFormat="1" ht="15.75" x14ac:dyDescent="0.25">
      <c r="A17" s="721" t="s">
        <v>725</v>
      </c>
      <c r="B17" s="721"/>
      <c r="C17" s="721"/>
      <c r="D17" s="721"/>
      <c r="E17" s="721"/>
      <c r="F17" s="721"/>
      <c r="G17" s="721"/>
      <c r="H17" s="721"/>
      <c r="I17" s="721"/>
      <c r="J17" s="716"/>
      <c r="K17" s="716"/>
      <c r="L17" s="716"/>
      <c r="M17" s="716"/>
      <c r="N17" s="486"/>
      <c r="O17" s="486"/>
      <c r="P17" s="486"/>
      <c r="Q17" s="486"/>
    </row>
    <row r="18" spans="1:17" s="198" customFormat="1" ht="15.75" x14ac:dyDescent="0.25">
      <c r="A18" s="721" t="s">
        <v>726</v>
      </c>
      <c r="B18" s="721"/>
      <c r="C18" s="721"/>
      <c r="D18" s="721"/>
      <c r="E18" s="721"/>
      <c r="F18" s="721"/>
      <c r="G18" s="721"/>
      <c r="H18" s="721"/>
      <c r="I18" s="721"/>
      <c r="J18" s="716"/>
      <c r="K18" s="716"/>
      <c r="L18" s="716"/>
      <c r="M18" s="716"/>
      <c r="N18" s="486"/>
      <c r="O18" s="486"/>
      <c r="P18" s="486"/>
      <c r="Q18" s="486"/>
    </row>
    <row r="19" spans="1:17" s="198" customFormat="1" ht="15.75" x14ac:dyDescent="0.25">
      <c r="A19" s="721" t="s">
        <v>1060</v>
      </c>
      <c r="B19" s="721"/>
      <c r="C19" s="721"/>
      <c r="D19" s="721"/>
      <c r="E19" s="721"/>
      <c r="F19" s="721"/>
      <c r="G19" s="721"/>
      <c r="H19" s="721"/>
      <c r="I19" s="721"/>
      <c r="J19" s="716"/>
      <c r="K19" s="716"/>
      <c r="L19" s="716"/>
      <c r="M19" s="716"/>
      <c r="N19" s="486"/>
      <c r="O19" s="486"/>
      <c r="P19" s="486"/>
      <c r="Q19" s="486"/>
    </row>
    <row r="20" spans="1:17" s="199" customFormat="1" ht="15.75" x14ac:dyDescent="0.25">
      <c r="A20" s="721" t="s">
        <v>727</v>
      </c>
      <c r="B20" s="722"/>
      <c r="C20" s="722"/>
      <c r="D20" s="722"/>
      <c r="E20" s="722"/>
      <c r="F20" s="722"/>
      <c r="G20" s="722"/>
      <c r="H20" s="722"/>
      <c r="I20" s="722"/>
      <c r="J20" s="722"/>
      <c r="K20" s="722"/>
      <c r="L20" s="723"/>
      <c r="M20" s="723"/>
      <c r="N20" s="487"/>
      <c r="O20" s="487"/>
      <c r="P20" s="487"/>
      <c r="Q20" s="487"/>
    </row>
    <row r="21" spans="1:17" s="199" customFormat="1" ht="20.25" customHeight="1" x14ac:dyDescent="0.25">
      <c r="A21" s="615" t="s">
        <v>1066</v>
      </c>
      <c r="B21" s="615"/>
      <c r="C21" s="615"/>
      <c r="D21" s="615"/>
      <c r="E21" s="615"/>
      <c r="F21" s="615"/>
      <c r="G21" s="615"/>
      <c r="H21" s="615"/>
      <c r="I21" s="615"/>
      <c r="J21" s="615"/>
      <c r="K21" s="722"/>
      <c r="L21" s="723"/>
      <c r="M21" s="723"/>
      <c r="N21" s="487"/>
      <c r="O21" s="487"/>
      <c r="P21" s="487"/>
      <c r="Q21" s="487"/>
    </row>
    <row r="22" spans="1:17" s="199" customFormat="1" ht="21.75" customHeight="1" x14ac:dyDescent="0.25">
      <c r="A22" s="615" t="s">
        <v>1067</v>
      </c>
      <c r="B22" s="615"/>
      <c r="C22" s="615"/>
      <c r="D22" s="615"/>
      <c r="E22" s="615"/>
      <c r="F22" s="615"/>
      <c r="G22" s="615"/>
      <c r="H22" s="615"/>
      <c r="I22" s="615"/>
      <c r="J22" s="615"/>
      <c r="K22" s="722"/>
      <c r="L22" s="723"/>
      <c r="M22" s="723"/>
      <c r="N22" s="487"/>
      <c r="O22" s="487"/>
      <c r="P22" s="487"/>
      <c r="Q22" s="487"/>
    </row>
    <row r="23" spans="1:17" s="198" customFormat="1" ht="15.75" x14ac:dyDescent="0.25">
      <c r="A23" s="721" t="s">
        <v>1097</v>
      </c>
      <c r="B23" s="722"/>
      <c r="C23" s="722"/>
      <c r="D23" s="722"/>
      <c r="E23" s="721"/>
      <c r="F23" s="721"/>
      <c r="G23" s="721"/>
      <c r="H23" s="721"/>
      <c r="I23" s="721"/>
      <c r="J23" s="716"/>
      <c r="K23" s="716"/>
      <c r="L23" s="716"/>
      <c r="M23" s="716"/>
      <c r="N23" s="486"/>
      <c r="O23" s="486"/>
      <c r="P23" s="486"/>
      <c r="Q23" s="486"/>
    </row>
    <row r="24" spans="1:17" s="199" customFormat="1" ht="15.75" x14ac:dyDescent="0.25">
      <c r="A24" s="721" t="s">
        <v>1098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3"/>
      <c r="M24" s="723"/>
      <c r="N24" s="487"/>
      <c r="O24" s="487"/>
      <c r="P24" s="487"/>
      <c r="Q24" s="487"/>
    </row>
    <row r="25" spans="1:17" s="199" customFormat="1" ht="15.75" hidden="1" x14ac:dyDescent="0.25">
      <c r="A25" s="722" t="s">
        <v>728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3"/>
      <c r="M25" s="723"/>
      <c r="N25" s="487"/>
      <c r="O25" s="487"/>
      <c r="P25" s="487"/>
      <c r="Q25" s="487"/>
    </row>
    <row r="26" spans="1:17" s="199" customFormat="1" ht="15.75" x14ac:dyDescent="0.25">
      <c r="A26" s="721" t="s">
        <v>1099</v>
      </c>
      <c r="B26" s="721"/>
      <c r="C26" s="721"/>
      <c r="D26" s="721"/>
      <c r="E26" s="722"/>
      <c r="F26" s="722"/>
      <c r="G26" s="722"/>
      <c r="H26" s="722"/>
      <c r="I26" s="722"/>
      <c r="J26" s="722"/>
      <c r="K26" s="722"/>
      <c r="L26" s="723"/>
      <c r="M26" s="723"/>
      <c r="N26" s="487"/>
      <c r="O26" s="487"/>
      <c r="P26" s="487"/>
      <c r="Q26" s="487"/>
    </row>
    <row r="27" spans="1:17" s="199" customFormat="1" ht="15.75" x14ac:dyDescent="0.25">
      <c r="A27" s="721" t="s">
        <v>1100</v>
      </c>
      <c r="B27" s="721"/>
      <c r="C27" s="721"/>
      <c r="D27" s="721"/>
      <c r="E27" s="722"/>
      <c r="F27" s="722"/>
      <c r="G27" s="722"/>
      <c r="H27" s="722"/>
      <c r="I27" s="722"/>
      <c r="J27" s="722"/>
      <c r="K27" s="722"/>
      <c r="L27" s="723"/>
      <c r="M27" s="723"/>
      <c r="N27" s="487"/>
      <c r="O27" s="487"/>
      <c r="P27" s="487"/>
      <c r="Q27" s="487"/>
    </row>
    <row r="28" spans="1:17" s="199" customFormat="1" ht="15.75" x14ac:dyDescent="0.25">
      <c r="A28" s="721" t="s">
        <v>1101</v>
      </c>
      <c r="B28" s="721"/>
      <c r="C28" s="721"/>
      <c r="D28" s="721"/>
      <c r="E28" s="722"/>
      <c r="F28" s="722"/>
      <c r="G28" s="722"/>
      <c r="H28" s="722"/>
      <c r="I28" s="722"/>
      <c r="J28" s="722"/>
      <c r="K28" s="722"/>
      <c r="L28" s="723"/>
      <c r="M28" s="723"/>
      <c r="N28" s="487"/>
      <c r="O28" s="487"/>
      <c r="P28" s="487"/>
      <c r="Q28" s="487"/>
    </row>
    <row r="29" spans="1:17" s="199" customFormat="1" ht="15.75" x14ac:dyDescent="0.25">
      <c r="A29" s="721" t="s">
        <v>729</v>
      </c>
      <c r="B29" s="721"/>
      <c r="C29" s="721"/>
      <c r="D29" s="721"/>
      <c r="E29" s="722"/>
      <c r="F29" s="722"/>
      <c r="G29" s="722"/>
      <c r="H29" s="722"/>
      <c r="I29" s="722"/>
      <c r="J29" s="722"/>
      <c r="K29" s="722"/>
      <c r="L29" s="723"/>
      <c r="M29" s="723"/>
      <c r="N29" s="487"/>
      <c r="O29" s="487"/>
      <c r="P29" s="487"/>
      <c r="Q29" s="487"/>
    </row>
    <row r="30" spans="1:17" s="199" customFormat="1" ht="15.75" hidden="1" x14ac:dyDescent="0.25">
      <c r="A30" s="721" t="s">
        <v>730</v>
      </c>
      <c r="B30" s="722"/>
      <c r="C30" s="722"/>
      <c r="D30" s="722"/>
      <c r="E30" s="722"/>
      <c r="F30" s="722"/>
      <c r="G30" s="722"/>
      <c r="H30" s="722"/>
      <c r="I30" s="722"/>
      <c r="J30" s="722"/>
      <c r="K30" s="722"/>
      <c r="L30" s="723"/>
      <c r="M30" s="723"/>
      <c r="N30" s="487"/>
      <c r="O30" s="487"/>
      <c r="P30" s="487"/>
      <c r="Q30" s="487"/>
    </row>
    <row r="31" spans="1:17" s="199" customFormat="1" ht="15.75" x14ac:dyDescent="0.25">
      <c r="A31" s="721" t="s">
        <v>1068</v>
      </c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3"/>
      <c r="M31" s="723"/>
      <c r="N31" s="487"/>
      <c r="O31" s="487"/>
      <c r="P31" s="487"/>
      <c r="Q31" s="487"/>
    </row>
    <row r="32" spans="1:17" s="199" customFormat="1" ht="15.75" x14ac:dyDescent="0.25">
      <c r="A32" s="721" t="s">
        <v>1102</v>
      </c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3"/>
      <c r="M32" s="723"/>
      <c r="N32" s="487"/>
      <c r="O32" s="487"/>
      <c r="P32" s="487"/>
      <c r="Q32" s="487"/>
    </row>
    <row r="33" spans="1:17" s="199" customFormat="1" ht="35.25" customHeight="1" x14ac:dyDescent="0.25">
      <c r="A33" s="724" t="s">
        <v>1103</v>
      </c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13"/>
      <c r="O33" s="487"/>
      <c r="P33" s="487"/>
      <c r="Q33" s="487"/>
    </row>
    <row r="34" spans="1:17" s="199" customFormat="1" ht="15.75" x14ac:dyDescent="0.25">
      <c r="A34" s="725" t="s">
        <v>1104</v>
      </c>
      <c r="B34" s="726"/>
      <c r="C34" s="726"/>
      <c r="D34" s="726"/>
      <c r="E34" s="726"/>
      <c r="F34" s="726"/>
      <c r="G34" s="726"/>
      <c r="H34" s="726"/>
      <c r="I34" s="726"/>
      <c r="J34" s="726"/>
      <c r="K34" s="726"/>
      <c r="L34" s="727"/>
      <c r="M34" s="727"/>
      <c r="N34" s="456"/>
      <c r="O34" s="487"/>
      <c r="P34" s="487"/>
      <c r="Q34" s="487"/>
    </row>
    <row r="35" spans="1:17" s="199" customFormat="1" ht="15.75" x14ac:dyDescent="0.25">
      <c r="A35" s="726" t="s">
        <v>731</v>
      </c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7"/>
      <c r="M35" s="727"/>
      <c r="N35" s="456"/>
      <c r="O35" s="487"/>
      <c r="P35" s="487"/>
      <c r="Q35" s="487"/>
    </row>
    <row r="36" spans="1:17" s="198" customFormat="1" ht="15.75" x14ac:dyDescent="0.25">
      <c r="A36" s="721" t="s">
        <v>732</v>
      </c>
      <c r="B36" s="721"/>
      <c r="C36" s="721"/>
      <c r="D36" s="721"/>
      <c r="E36" s="721"/>
      <c r="F36" s="721"/>
      <c r="G36" s="721"/>
      <c r="H36" s="721"/>
      <c r="I36" s="721"/>
      <c r="J36" s="721"/>
      <c r="K36" s="721"/>
      <c r="L36" s="716"/>
      <c r="M36" s="716"/>
      <c r="N36" s="486"/>
      <c r="O36" s="486"/>
      <c r="P36" s="486"/>
      <c r="Q36" s="486"/>
    </row>
    <row r="37" spans="1:17" s="198" customFormat="1" ht="15.75" x14ac:dyDescent="0.25">
      <c r="A37" s="721" t="s">
        <v>733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16"/>
      <c r="M37" s="716"/>
      <c r="N37" s="486"/>
      <c r="O37" s="486"/>
      <c r="P37" s="486"/>
      <c r="Q37" s="486"/>
    </row>
    <row r="38" spans="1:17" s="198" customFormat="1" ht="15.75" x14ac:dyDescent="0.25">
      <c r="A38" s="721"/>
      <c r="B38" s="721"/>
      <c r="C38" s="721"/>
      <c r="D38" s="721"/>
      <c r="E38" s="721"/>
      <c r="F38" s="721"/>
      <c r="G38" s="721"/>
      <c r="H38" s="721"/>
      <c r="I38" s="721"/>
      <c r="J38" s="721"/>
      <c r="K38" s="721"/>
      <c r="L38" s="716"/>
      <c r="M38" s="716"/>
      <c r="N38" s="486"/>
      <c r="O38" s="486"/>
      <c r="P38" s="486"/>
      <c r="Q38" s="486"/>
    </row>
    <row r="39" spans="1:17" s="198" customFormat="1" ht="15.75" x14ac:dyDescent="0.25">
      <c r="A39" s="716" t="s">
        <v>734</v>
      </c>
      <c r="B39" s="716"/>
      <c r="C39" s="716"/>
      <c r="D39" s="716"/>
      <c r="E39" s="716"/>
      <c r="F39" s="716"/>
      <c r="G39" s="728"/>
      <c r="H39" s="728"/>
      <c r="I39" s="728"/>
      <c r="J39" s="728"/>
      <c r="K39" s="728"/>
      <c r="L39" s="728"/>
      <c r="M39" s="729"/>
      <c r="P39" s="486"/>
      <c r="Q39" s="486"/>
    </row>
    <row r="40" spans="1:17" ht="15.75" x14ac:dyDescent="0.25">
      <c r="A40" s="716"/>
      <c r="B40" s="716"/>
      <c r="C40" s="716"/>
      <c r="D40" s="716"/>
      <c r="E40" s="716"/>
      <c r="F40" s="716"/>
      <c r="G40" s="488" t="s">
        <v>735</v>
      </c>
      <c r="H40" s="488"/>
      <c r="I40" s="488"/>
      <c r="J40" s="716"/>
      <c r="K40" s="716"/>
      <c r="L40" s="716"/>
      <c r="M40" s="730"/>
      <c r="P40" s="486"/>
      <c r="Q40" s="486"/>
    </row>
    <row r="41" spans="1:17" ht="15.75" x14ac:dyDescent="0.25">
      <c r="A41" s="48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</row>
    <row r="42" spans="1:17" ht="15.75" x14ac:dyDescent="0.25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</row>
    <row r="43" spans="1:17" ht="15.75" x14ac:dyDescent="0.25">
      <c r="A43" s="486"/>
      <c r="B43" s="486"/>
      <c r="C43" s="486"/>
      <c r="D43" s="486"/>
      <c r="E43" s="486"/>
      <c r="F43" s="486"/>
      <c r="M43" s="486"/>
      <c r="N43" s="486"/>
      <c r="O43" s="486"/>
      <c r="P43" s="486"/>
      <c r="Q43" s="486"/>
    </row>
    <row r="44" spans="1:17" ht="15.75" x14ac:dyDescent="0.25">
      <c r="A44" s="486"/>
      <c r="B44" s="486"/>
      <c r="C44" s="486"/>
      <c r="D44" s="486"/>
      <c r="E44" s="486"/>
      <c r="F44" s="486"/>
      <c r="M44" s="486"/>
      <c r="N44" s="486"/>
      <c r="O44" s="486"/>
      <c r="P44" s="486"/>
      <c r="Q44" s="486"/>
    </row>
    <row r="45" spans="1:17" ht="15.75" x14ac:dyDescent="0.25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</row>
    <row r="46" spans="1:17" ht="15.75" x14ac:dyDescent="0.25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</row>
  </sheetData>
  <mergeCells count="8">
    <mergeCell ref="G39:L39"/>
    <mergeCell ref="A6:F6"/>
    <mergeCell ref="A21:J21"/>
    <mergeCell ref="A22:J22"/>
    <mergeCell ref="A7:M7"/>
    <mergeCell ref="A33:M33"/>
    <mergeCell ref="A1:M1"/>
    <mergeCell ref="A2:M2"/>
  </mergeCells>
  <printOptions horizontalCentered="1"/>
  <pageMargins left="0" right="0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1"/>
  <sheetViews>
    <sheetView showGridLines="0" tabSelected="1" topLeftCell="A275" zoomScale="85" zoomScaleNormal="85" workbookViewId="0">
      <selection activeCell="B3" sqref="A3:XFD5"/>
    </sheetView>
  </sheetViews>
  <sheetFormatPr defaultColWidth="8.85546875" defaultRowHeight="15.75" outlineLevelRow="2" x14ac:dyDescent="0.2"/>
  <cols>
    <col min="1" max="1" width="11.140625" style="70" customWidth="1"/>
    <col min="2" max="2" width="24.7109375" style="70" hidden="1" customWidth="1"/>
    <col min="3" max="3" width="53.42578125" style="149" customWidth="1"/>
    <col min="4" max="4" width="13" style="149" customWidth="1"/>
    <col min="5" max="5" width="17" style="149" customWidth="1"/>
    <col min="6" max="8" width="24" style="123" customWidth="1"/>
    <col min="9" max="9" width="20.7109375" style="123" customWidth="1"/>
    <col min="10" max="102" width="9.140625" style="123" customWidth="1"/>
    <col min="103" max="16384" width="8.85546875" style="123"/>
  </cols>
  <sheetData>
    <row r="1" spans="1:9" ht="29.25" customHeight="1" x14ac:dyDescent="0.2">
      <c r="A1" s="620" t="s">
        <v>708</v>
      </c>
      <c r="B1" s="620"/>
      <c r="C1" s="620"/>
      <c r="D1" s="620"/>
      <c r="E1" s="620"/>
      <c r="F1" s="620"/>
      <c r="G1" s="620"/>
      <c r="H1" s="620"/>
      <c r="I1" s="620"/>
    </row>
    <row r="2" spans="1:9" ht="29.25" customHeight="1" x14ac:dyDescent="0.2">
      <c r="A2" s="424" t="s">
        <v>581</v>
      </c>
      <c r="B2" s="424"/>
      <c r="C2" s="621" t="s">
        <v>12</v>
      </c>
      <c r="D2" s="622"/>
      <c r="E2" s="622"/>
      <c r="F2" s="622"/>
      <c r="G2" s="622"/>
      <c r="H2" s="622"/>
      <c r="I2" s="622"/>
    </row>
    <row r="3" spans="1:9" ht="29.25" customHeight="1" x14ac:dyDescent="0.2">
      <c r="A3" s="649" t="s">
        <v>15</v>
      </c>
      <c r="B3" s="408"/>
      <c r="C3" s="647" t="s">
        <v>692</v>
      </c>
      <c r="D3" s="648" t="s">
        <v>702</v>
      </c>
      <c r="E3" s="647" t="s">
        <v>703</v>
      </c>
      <c r="F3" s="425" t="s">
        <v>709</v>
      </c>
      <c r="G3" s="618" t="s">
        <v>711</v>
      </c>
      <c r="H3" s="616" t="s">
        <v>706</v>
      </c>
      <c r="I3" s="617"/>
    </row>
    <row r="4" spans="1:9" ht="31.5" customHeight="1" x14ac:dyDescent="0.2">
      <c r="A4" s="649"/>
      <c r="B4" s="427" t="s">
        <v>705</v>
      </c>
      <c r="C4" s="647"/>
      <c r="D4" s="648"/>
      <c r="E4" s="647"/>
      <c r="F4" s="192" t="s">
        <v>710</v>
      </c>
      <c r="G4" s="619"/>
      <c r="H4" s="193" t="s">
        <v>710</v>
      </c>
      <c r="I4" s="426" t="s">
        <v>711</v>
      </c>
    </row>
    <row r="5" spans="1:9" x14ac:dyDescent="0.2">
      <c r="A5" s="427">
        <v>1</v>
      </c>
      <c r="B5" s="427">
        <v>2</v>
      </c>
      <c r="C5" s="427">
        <v>3</v>
      </c>
      <c r="D5" s="427">
        <v>4</v>
      </c>
      <c r="E5" s="427">
        <v>5</v>
      </c>
      <c r="F5" s="425">
        <v>11</v>
      </c>
      <c r="G5" s="425"/>
      <c r="H5" s="425"/>
      <c r="I5" s="425"/>
    </row>
    <row r="6" spans="1:9" ht="22.15" customHeight="1" x14ac:dyDescent="0.2">
      <c r="A6" s="115">
        <v>1</v>
      </c>
      <c r="B6" s="115"/>
      <c r="C6" s="116" t="s">
        <v>592</v>
      </c>
      <c r="D6" s="116" t="s">
        <v>704</v>
      </c>
      <c r="E6" s="115">
        <v>1</v>
      </c>
      <c r="F6" s="117">
        <f>F7+F8</f>
        <v>72807720.870000005</v>
      </c>
      <c r="G6" s="117">
        <f>НМЦК!K12</f>
        <v>72807720.870000005</v>
      </c>
      <c r="H6" s="117"/>
      <c r="I6" s="117"/>
    </row>
    <row r="7" spans="1:9" s="140" customFormat="1" ht="31.5" x14ac:dyDescent="0.2">
      <c r="A7" s="119" t="s">
        <v>452</v>
      </c>
      <c r="B7" s="345" t="s">
        <v>107</v>
      </c>
      <c r="C7" s="120" t="s">
        <v>593</v>
      </c>
      <c r="D7" s="120" t="s">
        <v>704</v>
      </c>
      <c r="E7" s="119">
        <v>1</v>
      </c>
      <c r="F7" s="176">
        <f>G7/E7</f>
        <v>71380118.5</v>
      </c>
      <c r="G7" s="176">
        <f>НМЦК!K13</f>
        <v>71380118.5</v>
      </c>
      <c r="H7" s="176"/>
      <c r="I7" s="176"/>
    </row>
    <row r="8" spans="1:9" s="140" customFormat="1" ht="25.5" customHeight="1" x14ac:dyDescent="0.2">
      <c r="A8" s="430" t="s">
        <v>453</v>
      </c>
      <c r="B8" s="345" t="s">
        <v>118</v>
      </c>
      <c r="C8" s="120" t="s">
        <v>1061</v>
      </c>
      <c r="D8" s="120" t="s">
        <v>704</v>
      </c>
      <c r="E8" s="119">
        <v>1</v>
      </c>
      <c r="F8" s="176">
        <f>G8/E8</f>
        <v>1427602.37</v>
      </c>
      <c r="G8" s="176">
        <f>НМЦК!K14</f>
        <v>1427602.37</v>
      </c>
      <c r="H8" s="176"/>
      <c r="I8" s="176"/>
    </row>
    <row r="9" spans="1:9" s="141" customFormat="1" ht="61.5" customHeight="1" x14ac:dyDescent="0.2">
      <c r="A9" s="125" t="s">
        <v>594</v>
      </c>
      <c r="B9" s="125"/>
      <c r="C9" s="116" t="s">
        <v>701</v>
      </c>
      <c r="D9" s="116" t="s">
        <v>704</v>
      </c>
      <c r="E9" s="115">
        <v>1</v>
      </c>
      <c r="F9" s="117">
        <f>F10+F20+F71+F120+F186+F194+F204+F213+F219+F230+F251+F260+F269+F270+F271+F275+F276+F277+F278+F279+F280</f>
        <v>1494518256.6300001</v>
      </c>
      <c r="G9" s="117">
        <f>НМЦК!K15</f>
        <v>1494518256.6300001</v>
      </c>
      <c r="H9" s="117">
        <f>I9</f>
        <v>99871120.219999999</v>
      </c>
      <c r="I9" s="117">
        <f>I10+I20+I71+I120+I186+I194+I204+I213+I219+I230+I251+I260+I269+I270+I271+I275+I276+I277+I278+I279+I280</f>
        <v>99871120.219999999</v>
      </c>
    </row>
    <row r="10" spans="1:9" ht="28.5" customHeight="1" x14ac:dyDescent="0.2">
      <c r="A10" s="127" t="s">
        <v>457</v>
      </c>
      <c r="B10" s="127"/>
      <c r="C10" s="128" t="s">
        <v>595</v>
      </c>
      <c r="D10" s="120" t="s">
        <v>704</v>
      </c>
      <c r="E10" s="119">
        <v>1</v>
      </c>
      <c r="F10" s="150">
        <f>F11+F14+F17+F18</f>
        <v>65352898.619999997</v>
      </c>
      <c r="G10" s="150">
        <f>НМЦК!K16</f>
        <v>65352898.619999997</v>
      </c>
      <c r="H10" s="150"/>
      <c r="I10" s="150"/>
    </row>
    <row r="11" spans="1:9" s="142" customFormat="1" ht="27.75" customHeight="1" x14ac:dyDescent="0.2">
      <c r="A11" s="326" t="s">
        <v>596</v>
      </c>
      <c r="B11" s="346" t="s">
        <v>1018</v>
      </c>
      <c r="C11" s="327" t="s">
        <v>26</v>
      </c>
      <c r="D11" s="329" t="s">
        <v>704</v>
      </c>
      <c r="E11" s="330">
        <v>1</v>
      </c>
      <c r="F11" s="334">
        <f t="shared" ref="F11:F18" si="0">G11/E11</f>
        <v>50675763.600000001</v>
      </c>
      <c r="G11" s="334">
        <f>НМЦК!K17</f>
        <v>50675763.600000001</v>
      </c>
      <c r="H11" s="334"/>
      <c r="I11" s="334"/>
    </row>
    <row r="12" spans="1:9" s="143" customFormat="1" ht="35.25" hidden="1" customHeight="1" outlineLevel="1" x14ac:dyDescent="0.2">
      <c r="A12" s="375" t="s">
        <v>597</v>
      </c>
      <c r="B12" s="375"/>
      <c r="C12" s="376" t="s">
        <v>454</v>
      </c>
      <c r="D12" s="358" t="s">
        <v>704</v>
      </c>
      <c r="E12" s="359">
        <v>1</v>
      </c>
      <c r="F12" s="334">
        <f t="shared" si="0"/>
        <v>35112885.579999998</v>
      </c>
      <c r="G12" s="365">
        <f>НМЦК!K18</f>
        <v>35112885.579999998</v>
      </c>
      <c r="H12" s="365"/>
      <c r="I12" s="365"/>
    </row>
    <row r="13" spans="1:9" s="143" customFormat="1" ht="39.75" hidden="1" customHeight="1" outlineLevel="1" x14ac:dyDescent="0.2">
      <c r="A13" s="375" t="s">
        <v>598</v>
      </c>
      <c r="B13" s="375"/>
      <c r="C13" s="376" t="s">
        <v>455</v>
      </c>
      <c r="D13" s="358" t="s">
        <v>704</v>
      </c>
      <c r="E13" s="359">
        <v>1</v>
      </c>
      <c r="F13" s="334">
        <f t="shared" si="0"/>
        <v>15562878</v>
      </c>
      <c r="G13" s="365">
        <f>НМЦК!K19</f>
        <v>15562878</v>
      </c>
      <c r="H13" s="365"/>
      <c r="I13" s="365"/>
    </row>
    <row r="14" spans="1:9" s="142" customFormat="1" ht="28.5" customHeight="1" collapsed="1" x14ac:dyDescent="0.2">
      <c r="A14" s="326" t="s">
        <v>599</v>
      </c>
      <c r="B14" s="346" t="s">
        <v>1019</v>
      </c>
      <c r="C14" s="327" t="s">
        <v>700</v>
      </c>
      <c r="D14" s="329" t="s">
        <v>704</v>
      </c>
      <c r="E14" s="330">
        <v>1</v>
      </c>
      <c r="F14" s="334">
        <f t="shared" si="0"/>
        <v>5386662.0800000001</v>
      </c>
      <c r="G14" s="334">
        <f>НМЦК!K20</f>
        <v>5386662.0800000001</v>
      </c>
      <c r="H14" s="334"/>
      <c r="I14" s="334"/>
    </row>
    <row r="15" spans="1:9" s="143" customFormat="1" ht="21.75" hidden="1" customHeight="1" outlineLevel="1" x14ac:dyDescent="0.2">
      <c r="A15" s="375" t="s">
        <v>600</v>
      </c>
      <c r="B15" s="375"/>
      <c r="C15" s="376" t="s">
        <v>456</v>
      </c>
      <c r="D15" s="358" t="s">
        <v>704</v>
      </c>
      <c r="E15" s="359">
        <v>1</v>
      </c>
      <c r="F15" s="334">
        <f t="shared" si="0"/>
        <v>2075268.28</v>
      </c>
      <c r="G15" s="365">
        <f>НМЦК!K21</f>
        <v>2075268.28</v>
      </c>
      <c r="H15" s="365"/>
      <c r="I15" s="365"/>
    </row>
    <row r="16" spans="1:9" s="143" customFormat="1" ht="27.75" hidden="1" customHeight="1" outlineLevel="1" x14ac:dyDescent="0.2">
      <c r="A16" s="375" t="s">
        <v>601</v>
      </c>
      <c r="B16" s="375"/>
      <c r="C16" s="376" t="s">
        <v>459</v>
      </c>
      <c r="D16" s="358" t="s">
        <v>704</v>
      </c>
      <c r="E16" s="359">
        <v>1</v>
      </c>
      <c r="F16" s="334">
        <f t="shared" si="0"/>
        <v>3311393.79</v>
      </c>
      <c r="G16" s="365">
        <f>НМЦК!K22</f>
        <v>3311393.79</v>
      </c>
      <c r="H16" s="365"/>
      <c r="I16" s="365"/>
    </row>
    <row r="17" spans="1:9" s="137" customFormat="1" ht="36" customHeight="1" collapsed="1" x14ac:dyDescent="0.2">
      <c r="A17" s="326" t="s">
        <v>602</v>
      </c>
      <c r="B17" s="327" t="s">
        <v>1020</v>
      </c>
      <c r="C17" s="327" t="s">
        <v>604</v>
      </c>
      <c r="D17" s="329" t="s">
        <v>704</v>
      </c>
      <c r="E17" s="330">
        <v>1</v>
      </c>
      <c r="F17" s="334">
        <f t="shared" si="0"/>
        <v>9244093.8399999999</v>
      </c>
      <c r="G17" s="334">
        <f>НМЦК!K23</f>
        <v>9244093.8399999999</v>
      </c>
      <c r="H17" s="334"/>
      <c r="I17" s="334"/>
    </row>
    <row r="18" spans="1:9" ht="31.5" x14ac:dyDescent="0.2">
      <c r="A18" s="326" t="s">
        <v>603</v>
      </c>
      <c r="B18" s="346" t="s">
        <v>1021</v>
      </c>
      <c r="C18" s="327" t="s">
        <v>605</v>
      </c>
      <c r="D18" s="329" t="s">
        <v>704</v>
      </c>
      <c r="E18" s="330">
        <v>1</v>
      </c>
      <c r="F18" s="334">
        <f t="shared" si="0"/>
        <v>46379.1</v>
      </c>
      <c r="G18" s="334">
        <f>НМЦК!K24</f>
        <v>46379.1</v>
      </c>
      <c r="H18" s="334"/>
      <c r="I18" s="334"/>
    </row>
    <row r="19" spans="1:9" ht="21.75" customHeight="1" x14ac:dyDescent="0.2">
      <c r="A19" s="126"/>
      <c r="B19" s="126"/>
      <c r="C19" s="144" t="s">
        <v>606</v>
      </c>
      <c r="D19" s="144"/>
      <c r="E19" s="128"/>
      <c r="F19" s="122"/>
      <c r="G19" s="122">
        <f>НМЦК!K25</f>
        <v>0</v>
      </c>
      <c r="H19" s="122"/>
      <c r="I19" s="122"/>
    </row>
    <row r="20" spans="1:9" s="145" customFormat="1" ht="21.75" customHeight="1" x14ac:dyDescent="0.2">
      <c r="A20" s="134" t="s">
        <v>458</v>
      </c>
      <c r="B20" s="347" t="s">
        <v>1022</v>
      </c>
      <c r="C20" s="133" t="s">
        <v>36</v>
      </c>
      <c r="D20" s="120" t="s">
        <v>704</v>
      </c>
      <c r="E20" s="119">
        <v>1</v>
      </c>
      <c r="F20" s="150">
        <f>F21+F26+F30+F35+F41+F42+F48+F49+F54+F55+F59+F63+F66+F70</f>
        <v>213275782.52000001</v>
      </c>
      <c r="G20" s="150">
        <f>НМЦК!K26</f>
        <v>213275782.52000001</v>
      </c>
      <c r="H20" s="150">
        <f>I20</f>
        <v>9486908.1400000006</v>
      </c>
      <c r="I20" s="150">
        <f>I21+I26+I30+I35+I41+I42+I48+I49+I54+I55+I59+I63+I66+I70</f>
        <v>9486908.1400000006</v>
      </c>
    </row>
    <row r="21" spans="1:9" s="142" customFormat="1" x14ac:dyDescent="0.2">
      <c r="A21" s="132" t="s">
        <v>607</v>
      </c>
      <c r="B21" s="348" t="s">
        <v>1023</v>
      </c>
      <c r="C21" s="121" t="s">
        <v>197</v>
      </c>
      <c r="D21" s="329" t="s">
        <v>704</v>
      </c>
      <c r="E21" s="330">
        <v>1</v>
      </c>
      <c r="F21" s="334">
        <f t="shared" ref="F21:F28" si="1">G21/E21</f>
        <v>39815353.170000002</v>
      </c>
      <c r="G21" s="334">
        <f>НМЦК!K27</f>
        <v>39815353.170000002</v>
      </c>
      <c r="H21" s="334"/>
      <c r="I21" s="334"/>
    </row>
    <row r="22" spans="1:9" ht="15" hidden="1" customHeight="1" outlineLevel="1" x14ac:dyDescent="0.2">
      <c r="A22" s="375" t="s">
        <v>892</v>
      </c>
      <c r="B22" s="384"/>
      <c r="C22" s="376" t="s">
        <v>621</v>
      </c>
      <c r="D22" s="358" t="s">
        <v>704</v>
      </c>
      <c r="E22" s="359">
        <v>1</v>
      </c>
      <c r="F22" s="334">
        <f t="shared" si="1"/>
        <v>19648340.16</v>
      </c>
      <c r="G22" s="365">
        <f>НМЦК!K28</f>
        <v>19648340.16</v>
      </c>
      <c r="H22" s="365"/>
      <c r="I22" s="365"/>
    </row>
    <row r="23" spans="1:9" hidden="1" outlineLevel="1" x14ac:dyDescent="0.2">
      <c r="A23" s="375" t="s">
        <v>893</v>
      </c>
      <c r="B23" s="384"/>
      <c r="C23" s="376" t="s">
        <v>346</v>
      </c>
      <c r="D23" s="358" t="s">
        <v>704</v>
      </c>
      <c r="E23" s="359">
        <v>1</v>
      </c>
      <c r="F23" s="334">
        <f t="shared" si="1"/>
        <v>5042354.0199999996</v>
      </c>
      <c r="G23" s="365">
        <f>НМЦК!K29</f>
        <v>5042354.0199999996</v>
      </c>
      <c r="H23" s="365"/>
      <c r="I23" s="365"/>
    </row>
    <row r="24" spans="1:9" hidden="1" outlineLevel="1" x14ac:dyDescent="0.2">
      <c r="A24" s="375" t="s">
        <v>894</v>
      </c>
      <c r="B24" s="384"/>
      <c r="C24" s="376" t="s">
        <v>347</v>
      </c>
      <c r="D24" s="358" t="s">
        <v>704</v>
      </c>
      <c r="E24" s="359">
        <v>1</v>
      </c>
      <c r="F24" s="334">
        <f t="shared" si="1"/>
        <v>4704293.87</v>
      </c>
      <c r="G24" s="365">
        <f>НМЦК!K30</f>
        <v>4704293.87</v>
      </c>
      <c r="H24" s="365"/>
      <c r="I24" s="365"/>
    </row>
    <row r="25" spans="1:9" ht="31.5" hidden="1" customHeight="1" outlineLevel="1" x14ac:dyDescent="0.2">
      <c r="A25" s="375" t="s">
        <v>895</v>
      </c>
      <c r="B25" s="384" t="s">
        <v>247</v>
      </c>
      <c r="C25" s="376" t="s">
        <v>248</v>
      </c>
      <c r="D25" s="358" t="s">
        <v>704</v>
      </c>
      <c r="E25" s="359">
        <v>1</v>
      </c>
      <c r="F25" s="334">
        <f t="shared" si="1"/>
        <v>10420365.140000001</v>
      </c>
      <c r="G25" s="365">
        <f>НМЦК!K31</f>
        <v>10420365.140000001</v>
      </c>
      <c r="H25" s="365"/>
      <c r="I25" s="365"/>
    </row>
    <row r="26" spans="1:9" s="142" customFormat="1" ht="31.5" collapsed="1" x14ac:dyDescent="0.2">
      <c r="A26" s="132" t="s">
        <v>608</v>
      </c>
      <c r="B26" s="348" t="s">
        <v>1024</v>
      </c>
      <c r="C26" s="121" t="s">
        <v>199</v>
      </c>
      <c r="D26" s="329" t="s">
        <v>704</v>
      </c>
      <c r="E26" s="330">
        <v>1</v>
      </c>
      <c r="F26" s="334">
        <f t="shared" si="1"/>
        <v>34086978.32</v>
      </c>
      <c r="G26" s="334">
        <f>НМЦК!K32</f>
        <v>34086978.32</v>
      </c>
      <c r="H26" s="334"/>
      <c r="I26" s="334"/>
    </row>
    <row r="27" spans="1:9" hidden="1" outlineLevel="1" x14ac:dyDescent="0.2">
      <c r="A27" s="375" t="s">
        <v>1180</v>
      </c>
      <c r="B27" s="384"/>
      <c r="C27" s="376" t="s">
        <v>351</v>
      </c>
      <c r="D27" s="358" t="s">
        <v>704</v>
      </c>
      <c r="E27" s="359">
        <v>1</v>
      </c>
      <c r="F27" s="334">
        <f t="shared" si="1"/>
        <v>16853696.800000001</v>
      </c>
      <c r="G27" s="365">
        <f>НМЦК!K33</f>
        <v>16853696.800000001</v>
      </c>
      <c r="H27" s="502"/>
      <c r="I27" s="365"/>
    </row>
    <row r="28" spans="1:9" ht="16.5" hidden="1" customHeight="1" outlineLevel="1" x14ac:dyDescent="0.2">
      <c r="A28" s="375" t="s">
        <v>1181</v>
      </c>
      <c r="B28" s="384"/>
      <c r="C28" s="376" t="s">
        <v>352</v>
      </c>
      <c r="D28" s="358" t="s">
        <v>704</v>
      </c>
      <c r="E28" s="359">
        <v>1</v>
      </c>
      <c r="F28" s="334">
        <f t="shared" si="1"/>
        <v>17233281.530000001</v>
      </c>
      <c r="G28" s="365">
        <f>НМЦК!K34</f>
        <v>17233281.530000001</v>
      </c>
      <c r="H28" s="365"/>
      <c r="I28" s="365"/>
    </row>
    <row r="29" spans="1:9" s="137" customFormat="1" hidden="1" outlineLevel="1" x14ac:dyDescent="0.2">
      <c r="A29" s="375"/>
      <c r="B29" s="384"/>
      <c r="C29" s="376"/>
      <c r="D29" s="358"/>
      <c r="E29" s="359"/>
      <c r="F29" s="334"/>
      <c r="G29" s="365"/>
      <c r="H29" s="365"/>
      <c r="I29" s="365"/>
    </row>
    <row r="30" spans="1:9" s="142" customFormat="1" collapsed="1" x14ac:dyDescent="0.2">
      <c r="A30" s="132" t="s">
        <v>609</v>
      </c>
      <c r="B30" s="348" t="s">
        <v>1025</v>
      </c>
      <c r="C30" s="121" t="s">
        <v>201</v>
      </c>
      <c r="D30" s="329" t="s">
        <v>704</v>
      </c>
      <c r="E30" s="330">
        <v>1</v>
      </c>
      <c r="F30" s="334">
        <f t="shared" ref="F30:F70" si="2">G30/E30</f>
        <v>7094745.3300000001</v>
      </c>
      <c r="G30" s="334">
        <f>НМЦК!K36</f>
        <v>7094745.3300000001</v>
      </c>
      <c r="H30" s="334"/>
      <c r="I30" s="328"/>
    </row>
    <row r="31" spans="1:9" hidden="1" outlineLevel="1" x14ac:dyDescent="0.2">
      <c r="A31" s="375" t="s">
        <v>896</v>
      </c>
      <c r="B31" s="384"/>
      <c r="C31" s="376" t="s">
        <v>356</v>
      </c>
      <c r="D31" s="358" t="s">
        <v>704</v>
      </c>
      <c r="E31" s="359">
        <v>1</v>
      </c>
      <c r="F31" s="334">
        <f t="shared" si="2"/>
        <v>815881.29</v>
      </c>
      <c r="G31" s="365">
        <f>НМЦК!K37</f>
        <v>815881.29</v>
      </c>
      <c r="H31" s="502"/>
      <c r="I31" s="365"/>
    </row>
    <row r="32" spans="1:9" hidden="1" outlineLevel="1" x14ac:dyDescent="0.2">
      <c r="A32" s="375" t="s">
        <v>897</v>
      </c>
      <c r="B32" s="384"/>
      <c r="C32" s="376" t="s">
        <v>360</v>
      </c>
      <c r="D32" s="358" t="s">
        <v>704</v>
      </c>
      <c r="E32" s="359">
        <v>1</v>
      </c>
      <c r="F32" s="334">
        <f t="shared" si="2"/>
        <v>479070.74</v>
      </c>
      <c r="G32" s="365">
        <f>НМЦК!K38</f>
        <v>479070.74</v>
      </c>
      <c r="H32" s="365"/>
      <c r="I32" s="365"/>
    </row>
    <row r="33" spans="1:9" hidden="1" outlineLevel="1" x14ac:dyDescent="0.2">
      <c r="A33" s="375" t="s">
        <v>898</v>
      </c>
      <c r="B33" s="384"/>
      <c r="C33" s="376" t="s">
        <v>361</v>
      </c>
      <c r="D33" s="358" t="s">
        <v>704</v>
      </c>
      <c r="E33" s="359">
        <v>1</v>
      </c>
      <c r="F33" s="334">
        <f t="shared" si="2"/>
        <v>5798447.5899999999</v>
      </c>
      <c r="G33" s="365">
        <f>НМЦК!K39</f>
        <v>5798447.5899999999</v>
      </c>
      <c r="H33" s="365"/>
      <c r="I33" s="365"/>
    </row>
    <row r="34" spans="1:9" ht="31.5" hidden="1" customHeight="1" outlineLevel="1" x14ac:dyDescent="0.2">
      <c r="A34" s="375" t="s">
        <v>899</v>
      </c>
      <c r="B34" s="384" t="s">
        <v>249</v>
      </c>
      <c r="C34" s="376" t="s">
        <v>250</v>
      </c>
      <c r="D34" s="358" t="s">
        <v>704</v>
      </c>
      <c r="E34" s="359">
        <v>1</v>
      </c>
      <c r="F34" s="334">
        <f t="shared" si="2"/>
        <v>1345.7</v>
      </c>
      <c r="G34" s="365">
        <f>НМЦК!K40</f>
        <v>1345.7</v>
      </c>
      <c r="H34" s="365"/>
      <c r="I34" s="365"/>
    </row>
    <row r="35" spans="1:9" s="142" customFormat="1" ht="31.5" collapsed="1" x14ac:dyDescent="0.2">
      <c r="A35" s="132" t="s">
        <v>610</v>
      </c>
      <c r="B35" s="348" t="s">
        <v>1026</v>
      </c>
      <c r="C35" s="121" t="s">
        <v>203</v>
      </c>
      <c r="D35" s="329" t="s">
        <v>704</v>
      </c>
      <c r="E35" s="330">
        <v>1</v>
      </c>
      <c r="F35" s="334">
        <f t="shared" si="2"/>
        <v>4074715.93</v>
      </c>
      <c r="G35" s="334">
        <f>НМЦК!K41</f>
        <v>4074715.93</v>
      </c>
      <c r="H35" s="334">
        <f>I35</f>
        <v>3052076.79</v>
      </c>
      <c r="I35" s="328">
        <f>НМЦК!L41</f>
        <v>3052076.79</v>
      </c>
    </row>
    <row r="36" spans="1:9" hidden="1" outlineLevel="1" x14ac:dyDescent="0.2">
      <c r="A36" s="375" t="s">
        <v>900</v>
      </c>
      <c r="B36" s="384"/>
      <c r="C36" s="376" t="s">
        <v>362</v>
      </c>
      <c r="D36" s="358" t="s">
        <v>704</v>
      </c>
      <c r="E36" s="359">
        <v>1</v>
      </c>
      <c r="F36" s="334">
        <f t="shared" si="2"/>
        <v>560005.25</v>
      </c>
      <c r="G36" s="365">
        <f>НМЦК!K42</f>
        <v>560005.25</v>
      </c>
      <c r="H36" s="365"/>
      <c r="I36" s="365">
        <f>НМЦК!L42</f>
        <v>0</v>
      </c>
    </row>
    <row r="37" spans="1:9" hidden="1" outlineLevel="1" x14ac:dyDescent="0.2">
      <c r="A37" s="375" t="s">
        <v>901</v>
      </c>
      <c r="B37" s="384"/>
      <c r="C37" s="376" t="s">
        <v>364</v>
      </c>
      <c r="D37" s="358" t="s">
        <v>704</v>
      </c>
      <c r="E37" s="359">
        <v>1</v>
      </c>
      <c r="F37" s="334">
        <f t="shared" si="2"/>
        <v>3079241.17</v>
      </c>
      <c r="G37" s="365">
        <f>НМЦК!K43</f>
        <v>3079241.17</v>
      </c>
      <c r="H37" s="365">
        <f>I37</f>
        <v>2885748.1</v>
      </c>
      <c r="I37" s="365">
        <f>НМЦК!L43</f>
        <v>2885748.1</v>
      </c>
    </row>
    <row r="38" spans="1:9" hidden="1" outlineLevel="1" x14ac:dyDescent="0.2">
      <c r="A38" s="375" t="s">
        <v>902</v>
      </c>
      <c r="B38" s="384"/>
      <c r="C38" s="376" t="s">
        <v>365</v>
      </c>
      <c r="D38" s="358" t="s">
        <v>704</v>
      </c>
      <c r="E38" s="359">
        <v>1</v>
      </c>
      <c r="F38" s="334">
        <f t="shared" si="2"/>
        <v>140041.81</v>
      </c>
      <c r="G38" s="365">
        <f>НМЦК!K44</f>
        <v>140041.81</v>
      </c>
      <c r="H38" s="365">
        <f t="shared" ref="H38:H39" si="3">I38</f>
        <v>85733.03</v>
      </c>
      <c r="I38" s="365">
        <f>НМЦК!L44</f>
        <v>85733.03</v>
      </c>
    </row>
    <row r="39" spans="1:9" s="143" customFormat="1" hidden="1" outlineLevel="1" x14ac:dyDescent="0.2">
      <c r="A39" s="375" t="s">
        <v>903</v>
      </c>
      <c r="B39" s="384"/>
      <c r="C39" s="376" t="s">
        <v>368</v>
      </c>
      <c r="D39" s="358" t="s">
        <v>704</v>
      </c>
      <c r="E39" s="359">
        <v>1</v>
      </c>
      <c r="F39" s="334">
        <f t="shared" si="2"/>
        <v>85113.36</v>
      </c>
      <c r="G39" s="365">
        <f>НМЦК!K45</f>
        <v>85113.36</v>
      </c>
      <c r="H39" s="365">
        <f t="shared" si="3"/>
        <v>80595.64</v>
      </c>
      <c r="I39" s="365">
        <f>НМЦК!L45</f>
        <v>80595.64</v>
      </c>
    </row>
    <row r="40" spans="1:9" ht="31.5" hidden="1" customHeight="1" outlineLevel="1" x14ac:dyDescent="0.2">
      <c r="A40" s="375" t="s">
        <v>904</v>
      </c>
      <c r="B40" s="384" t="s">
        <v>251</v>
      </c>
      <c r="C40" s="376" t="s">
        <v>252</v>
      </c>
      <c r="D40" s="358" t="s">
        <v>704</v>
      </c>
      <c r="E40" s="359">
        <v>1</v>
      </c>
      <c r="F40" s="334">
        <f t="shared" si="2"/>
        <v>210314.35</v>
      </c>
      <c r="G40" s="365">
        <f>НМЦК!K46</f>
        <v>210314.35</v>
      </c>
      <c r="H40" s="365"/>
      <c r="I40" s="365">
        <f>НМЦК!L46</f>
        <v>0</v>
      </c>
    </row>
    <row r="41" spans="1:9" s="142" customFormat="1" ht="31.5" collapsed="1" x14ac:dyDescent="0.2">
      <c r="A41" s="132" t="s">
        <v>611</v>
      </c>
      <c r="B41" s="348" t="s">
        <v>1027</v>
      </c>
      <c r="C41" s="121" t="s">
        <v>205</v>
      </c>
      <c r="D41" s="329" t="s">
        <v>704</v>
      </c>
      <c r="E41" s="330">
        <v>1</v>
      </c>
      <c r="F41" s="334">
        <f t="shared" si="2"/>
        <v>157142.15</v>
      </c>
      <c r="G41" s="334">
        <f>НМЦК!K47</f>
        <v>157142.15</v>
      </c>
      <c r="H41" s="334">
        <f>I41</f>
        <v>39873.629999999997</v>
      </c>
      <c r="I41" s="334">
        <f>НМЦК!L47</f>
        <v>39873.629999999997</v>
      </c>
    </row>
    <row r="42" spans="1:9" s="142" customFormat="1" ht="31.5" x14ac:dyDescent="0.2">
      <c r="A42" s="132" t="s">
        <v>612</v>
      </c>
      <c r="B42" s="348" t="s">
        <v>1028</v>
      </c>
      <c r="C42" s="121" t="s">
        <v>207</v>
      </c>
      <c r="D42" s="329" t="s">
        <v>704</v>
      </c>
      <c r="E42" s="330">
        <v>1</v>
      </c>
      <c r="F42" s="334">
        <f t="shared" si="2"/>
        <v>6662403.2699999996</v>
      </c>
      <c r="G42" s="334">
        <f>НМЦК!K48</f>
        <v>6662403.2699999996</v>
      </c>
      <c r="H42" s="334">
        <f>I42</f>
        <v>4765700.34</v>
      </c>
      <c r="I42" s="328">
        <f>НМЦК!L48</f>
        <v>4765700.34</v>
      </c>
    </row>
    <row r="43" spans="1:9" hidden="1" outlineLevel="1" x14ac:dyDescent="0.2">
      <c r="A43" s="375" t="s">
        <v>905</v>
      </c>
      <c r="B43" s="384"/>
      <c r="C43" s="376" t="s">
        <v>362</v>
      </c>
      <c r="D43" s="358" t="s">
        <v>704</v>
      </c>
      <c r="E43" s="359">
        <v>1</v>
      </c>
      <c r="F43" s="334">
        <f t="shared" si="2"/>
        <v>871439.64</v>
      </c>
      <c r="G43" s="365">
        <f>НМЦК!K49</f>
        <v>871439.64</v>
      </c>
      <c r="H43" s="365"/>
      <c r="I43" s="365">
        <f>НМЦК!L49</f>
        <v>0</v>
      </c>
    </row>
    <row r="44" spans="1:9" hidden="1" outlineLevel="1" x14ac:dyDescent="0.2">
      <c r="A44" s="375" t="s">
        <v>906</v>
      </c>
      <c r="B44" s="384"/>
      <c r="C44" s="376" t="s">
        <v>364</v>
      </c>
      <c r="D44" s="358" t="s">
        <v>704</v>
      </c>
      <c r="E44" s="359">
        <v>1</v>
      </c>
      <c r="F44" s="334">
        <f t="shared" si="2"/>
        <v>4909460.7300000004</v>
      </c>
      <c r="G44" s="365">
        <f>НМЦК!K50</f>
        <v>4909460.7300000004</v>
      </c>
      <c r="H44" s="365">
        <f>I44</f>
        <v>4633495.22</v>
      </c>
      <c r="I44" s="365">
        <f>НМЦК!L50</f>
        <v>4633495.22</v>
      </c>
    </row>
    <row r="45" spans="1:9" hidden="1" outlineLevel="1" x14ac:dyDescent="0.2">
      <c r="A45" s="375" t="s">
        <v>907</v>
      </c>
      <c r="B45" s="384"/>
      <c r="C45" s="376" t="s">
        <v>365</v>
      </c>
      <c r="D45" s="358" t="s">
        <v>704</v>
      </c>
      <c r="E45" s="359">
        <v>1</v>
      </c>
      <c r="F45" s="334">
        <f t="shared" si="2"/>
        <v>466629.71</v>
      </c>
      <c r="G45" s="365">
        <f>НМЦК!K51</f>
        <v>466629.71</v>
      </c>
      <c r="H45" s="365">
        <f>I45</f>
        <v>64523.65</v>
      </c>
      <c r="I45" s="365">
        <f>НМЦК!L51</f>
        <v>64523.65</v>
      </c>
    </row>
    <row r="46" spans="1:9" hidden="1" outlineLevel="1" x14ac:dyDescent="0.2">
      <c r="A46" s="375" t="s">
        <v>908</v>
      </c>
      <c r="B46" s="384"/>
      <c r="C46" s="376" t="s">
        <v>368</v>
      </c>
      <c r="D46" s="358" t="s">
        <v>704</v>
      </c>
      <c r="E46" s="359">
        <v>1</v>
      </c>
      <c r="F46" s="334">
        <f t="shared" si="2"/>
        <v>72487.58</v>
      </c>
      <c r="G46" s="365">
        <f>НМЦК!K52</f>
        <v>72487.58</v>
      </c>
      <c r="H46" s="365">
        <f>I46</f>
        <v>67681.490000000005</v>
      </c>
      <c r="I46" s="365">
        <f>НМЦК!L52</f>
        <v>67681.490000000005</v>
      </c>
    </row>
    <row r="47" spans="1:9" ht="31.5" hidden="1" customHeight="1" outlineLevel="1" x14ac:dyDescent="0.2">
      <c r="A47" s="375" t="s">
        <v>909</v>
      </c>
      <c r="B47" s="384" t="s">
        <v>253</v>
      </c>
      <c r="C47" s="376" t="s">
        <v>254</v>
      </c>
      <c r="D47" s="358" t="s">
        <v>704</v>
      </c>
      <c r="E47" s="359">
        <v>1</v>
      </c>
      <c r="F47" s="334">
        <f t="shared" si="2"/>
        <v>342385.63</v>
      </c>
      <c r="G47" s="365">
        <f>НМЦК!K53</f>
        <v>342385.63</v>
      </c>
      <c r="H47" s="365"/>
      <c r="I47" s="365">
        <f>НМЦК!L53</f>
        <v>0</v>
      </c>
    </row>
    <row r="48" spans="1:9" s="142" customFormat="1" ht="31.5" collapsed="1" x14ac:dyDescent="0.2">
      <c r="A48" s="132" t="s">
        <v>613</v>
      </c>
      <c r="B48" s="348" t="s">
        <v>1029</v>
      </c>
      <c r="C48" s="121" t="s">
        <v>209</v>
      </c>
      <c r="D48" s="329" t="s">
        <v>704</v>
      </c>
      <c r="E48" s="330">
        <v>1</v>
      </c>
      <c r="F48" s="334">
        <f t="shared" si="2"/>
        <v>569610.13</v>
      </c>
      <c r="G48" s="334">
        <f>НМЦК!K54</f>
        <v>569610.13</v>
      </c>
      <c r="H48" s="334">
        <f>I48</f>
        <v>73525.850000000006</v>
      </c>
      <c r="I48" s="334">
        <f>НМЦК!L54</f>
        <v>73525.850000000006</v>
      </c>
    </row>
    <row r="49" spans="1:9" s="142" customFormat="1" ht="24.75" customHeight="1" x14ac:dyDescent="0.2">
      <c r="A49" s="132" t="s">
        <v>614</v>
      </c>
      <c r="B49" s="348" t="s">
        <v>1030</v>
      </c>
      <c r="C49" s="121" t="s">
        <v>211</v>
      </c>
      <c r="D49" s="329" t="s">
        <v>704</v>
      </c>
      <c r="E49" s="330">
        <v>1</v>
      </c>
      <c r="F49" s="334">
        <f t="shared" si="2"/>
        <v>115245347.37</v>
      </c>
      <c r="G49" s="334">
        <f>НМЦК!K55</f>
        <v>115245347.37</v>
      </c>
      <c r="H49" s="334"/>
      <c r="I49" s="328">
        <f>НМЦК!L55</f>
        <v>0</v>
      </c>
    </row>
    <row r="50" spans="1:9" hidden="1" outlineLevel="1" x14ac:dyDescent="0.2">
      <c r="A50" s="375" t="s">
        <v>994</v>
      </c>
      <c r="B50" s="384"/>
      <c r="C50" s="376" t="s">
        <v>374</v>
      </c>
      <c r="D50" s="358" t="s">
        <v>704</v>
      </c>
      <c r="E50" s="359">
        <v>1</v>
      </c>
      <c r="F50" s="334">
        <f t="shared" si="2"/>
        <v>52773524.329999998</v>
      </c>
      <c r="G50" s="365">
        <f>НМЦК!K56</f>
        <v>52773524.329999998</v>
      </c>
      <c r="H50" s="365"/>
      <c r="I50" s="365">
        <f>НМЦК!L56</f>
        <v>0</v>
      </c>
    </row>
    <row r="51" spans="1:9" hidden="1" outlineLevel="1" x14ac:dyDescent="0.2">
      <c r="A51" s="375" t="s">
        <v>995</v>
      </c>
      <c r="B51" s="384"/>
      <c r="C51" s="376" t="s">
        <v>378</v>
      </c>
      <c r="D51" s="358" t="s">
        <v>704</v>
      </c>
      <c r="E51" s="359">
        <v>1</v>
      </c>
      <c r="F51" s="334">
        <f t="shared" si="2"/>
        <v>37981446.560000002</v>
      </c>
      <c r="G51" s="365">
        <f>НМЦК!K57</f>
        <v>37981446.560000002</v>
      </c>
      <c r="H51" s="365"/>
      <c r="I51" s="365">
        <f>НМЦК!L57</f>
        <v>0</v>
      </c>
    </row>
    <row r="52" spans="1:9" hidden="1" outlineLevel="1" x14ac:dyDescent="0.2">
      <c r="A52" s="375" t="s">
        <v>996</v>
      </c>
      <c r="B52" s="384"/>
      <c r="C52" s="376" t="s">
        <v>379</v>
      </c>
      <c r="D52" s="358" t="s">
        <v>704</v>
      </c>
      <c r="E52" s="359">
        <v>1</v>
      </c>
      <c r="F52" s="334">
        <f t="shared" si="2"/>
        <v>4469180.1100000003</v>
      </c>
      <c r="G52" s="365">
        <f>НМЦК!K58</f>
        <v>4469180.1100000003</v>
      </c>
      <c r="H52" s="365"/>
      <c r="I52" s="365">
        <f>НМЦК!L58</f>
        <v>0</v>
      </c>
    </row>
    <row r="53" spans="1:9" ht="31.5" hidden="1" customHeight="1" outlineLevel="1" x14ac:dyDescent="0.2">
      <c r="A53" s="375" t="s">
        <v>997</v>
      </c>
      <c r="B53" s="384" t="s">
        <v>255</v>
      </c>
      <c r="C53" s="376" t="s">
        <v>256</v>
      </c>
      <c r="D53" s="358" t="s">
        <v>704</v>
      </c>
      <c r="E53" s="359">
        <v>1</v>
      </c>
      <c r="F53" s="334">
        <f t="shared" si="2"/>
        <v>20021196.350000001</v>
      </c>
      <c r="G53" s="365">
        <f>НМЦК!K59</f>
        <v>20021196.350000001</v>
      </c>
      <c r="H53" s="365"/>
      <c r="I53" s="365">
        <f>НМЦК!L59</f>
        <v>0</v>
      </c>
    </row>
    <row r="54" spans="1:9" s="142" customFormat="1" ht="31.5" collapsed="1" x14ac:dyDescent="0.2">
      <c r="A54" s="132" t="s">
        <v>615</v>
      </c>
      <c r="B54" s="348" t="s">
        <v>1031</v>
      </c>
      <c r="C54" s="121" t="s">
        <v>213</v>
      </c>
      <c r="D54" s="329" t="s">
        <v>704</v>
      </c>
      <c r="E54" s="330">
        <v>1</v>
      </c>
      <c r="F54" s="334">
        <f t="shared" si="2"/>
        <v>1622929.97</v>
      </c>
      <c r="G54" s="334">
        <f>НМЦК!K60</f>
        <v>1622929.97</v>
      </c>
      <c r="H54" s="334">
        <f t="shared" ref="H54:H69" si="4">I54</f>
        <v>23848.77</v>
      </c>
      <c r="I54" s="334">
        <f>НМЦК!L60</f>
        <v>23848.77</v>
      </c>
    </row>
    <row r="55" spans="1:9" s="142" customFormat="1" x14ac:dyDescent="0.2">
      <c r="A55" s="132" t="s">
        <v>616</v>
      </c>
      <c r="B55" s="348" t="s">
        <v>1032</v>
      </c>
      <c r="C55" s="121" t="s">
        <v>215</v>
      </c>
      <c r="D55" s="329" t="s">
        <v>704</v>
      </c>
      <c r="E55" s="330">
        <v>1</v>
      </c>
      <c r="F55" s="334">
        <f t="shared" si="2"/>
        <v>326459.44</v>
      </c>
      <c r="G55" s="334">
        <f>НМЦК!K61</f>
        <v>326459.44</v>
      </c>
      <c r="H55" s="334">
        <f t="shared" si="4"/>
        <v>144789.35999999999</v>
      </c>
      <c r="I55" s="334">
        <f>НМЦК!L61</f>
        <v>144789.35999999999</v>
      </c>
    </row>
    <row r="56" spans="1:9" ht="31.5" hidden="1" outlineLevel="1" x14ac:dyDescent="0.2">
      <c r="A56" s="375" t="s">
        <v>998</v>
      </c>
      <c r="B56" s="384"/>
      <c r="C56" s="376" t="s">
        <v>381</v>
      </c>
      <c r="D56" s="358" t="s">
        <v>704</v>
      </c>
      <c r="E56" s="359">
        <v>1</v>
      </c>
      <c r="F56" s="334">
        <f t="shared" si="2"/>
        <v>52076.97</v>
      </c>
      <c r="G56" s="365">
        <f>НМЦК!K62</f>
        <v>52076.97</v>
      </c>
      <c r="H56" s="365">
        <f t="shared" si="4"/>
        <v>25451.26</v>
      </c>
      <c r="I56" s="365">
        <f>НМЦК!L62</f>
        <v>25451.26</v>
      </c>
    </row>
    <row r="57" spans="1:9" ht="31.5" hidden="1" outlineLevel="1" x14ac:dyDescent="0.2">
      <c r="A57" s="375" t="s">
        <v>999</v>
      </c>
      <c r="B57" s="384"/>
      <c r="C57" s="376" t="s">
        <v>382</v>
      </c>
      <c r="D57" s="358" t="s">
        <v>704</v>
      </c>
      <c r="E57" s="359">
        <v>1</v>
      </c>
      <c r="F57" s="334">
        <f t="shared" si="2"/>
        <v>42284.19</v>
      </c>
      <c r="G57" s="365">
        <f>НМЦК!K63</f>
        <v>42284.19</v>
      </c>
      <c r="H57" s="365">
        <f t="shared" si="4"/>
        <v>19983.95</v>
      </c>
      <c r="I57" s="365">
        <f>НМЦК!L63</f>
        <v>19983.95</v>
      </c>
    </row>
    <row r="58" spans="1:9" ht="31.5" hidden="1" outlineLevel="1" x14ac:dyDescent="0.2">
      <c r="A58" s="375" t="s">
        <v>1000</v>
      </c>
      <c r="B58" s="384"/>
      <c r="C58" s="376" t="s">
        <v>385</v>
      </c>
      <c r="D58" s="358" t="s">
        <v>704</v>
      </c>
      <c r="E58" s="359">
        <v>1</v>
      </c>
      <c r="F58" s="334">
        <f t="shared" si="2"/>
        <v>232098.27</v>
      </c>
      <c r="G58" s="365">
        <f>НМЦК!K64</f>
        <v>232098.27</v>
      </c>
      <c r="H58" s="365">
        <f t="shared" si="4"/>
        <v>99354.16</v>
      </c>
      <c r="I58" s="365">
        <f>НМЦК!L64</f>
        <v>99354.16</v>
      </c>
    </row>
    <row r="59" spans="1:9" s="142" customFormat="1" collapsed="1" x14ac:dyDescent="0.2">
      <c r="A59" s="132" t="s">
        <v>617</v>
      </c>
      <c r="B59" s="348" t="s">
        <v>1033</v>
      </c>
      <c r="C59" s="121" t="s">
        <v>217</v>
      </c>
      <c r="D59" s="329" t="s">
        <v>704</v>
      </c>
      <c r="E59" s="330">
        <v>1</v>
      </c>
      <c r="F59" s="334">
        <f t="shared" si="2"/>
        <v>212130.79</v>
      </c>
      <c r="G59" s="334">
        <f>НМЦК!K65</f>
        <v>212130.79</v>
      </c>
      <c r="H59" s="334">
        <f t="shared" si="4"/>
        <v>137059.72</v>
      </c>
      <c r="I59" s="334">
        <f>НМЦК!L65</f>
        <v>137059.72</v>
      </c>
    </row>
    <row r="60" spans="1:9" hidden="1" outlineLevel="1" x14ac:dyDescent="0.2">
      <c r="A60" s="375" t="s">
        <v>1001</v>
      </c>
      <c r="B60" s="384"/>
      <c r="C60" s="376" t="s">
        <v>389</v>
      </c>
      <c r="D60" s="358" t="s">
        <v>704</v>
      </c>
      <c r="E60" s="359">
        <v>1</v>
      </c>
      <c r="F60" s="334">
        <f t="shared" si="2"/>
        <v>66865.06</v>
      </c>
      <c r="G60" s="365">
        <f>НМЦК!K66</f>
        <v>66865.06</v>
      </c>
      <c r="H60" s="365">
        <f t="shared" si="4"/>
        <v>33510.82</v>
      </c>
      <c r="I60" s="365">
        <f>НМЦК!L66</f>
        <v>33510.82</v>
      </c>
    </row>
    <row r="61" spans="1:9" hidden="1" outlineLevel="1" x14ac:dyDescent="0.2">
      <c r="A61" s="375" t="s">
        <v>1002</v>
      </c>
      <c r="B61" s="384"/>
      <c r="C61" s="376" t="s">
        <v>390</v>
      </c>
      <c r="D61" s="358" t="s">
        <v>704</v>
      </c>
      <c r="E61" s="359">
        <v>1</v>
      </c>
      <c r="F61" s="334">
        <f t="shared" si="2"/>
        <v>54436.12</v>
      </c>
      <c r="G61" s="365">
        <f>НМЦК!K67</f>
        <v>54436.12</v>
      </c>
      <c r="H61" s="365">
        <f t="shared" si="4"/>
        <v>30117.32</v>
      </c>
      <c r="I61" s="365">
        <f>НМЦК!L67</f>
        <v>30117.32</v>
      </c>
    </row>
    <row r="62" spans="1:9" hidden="1" outlineLevel="1" x14ac:dyDescent="0.2">
      <c r="A62" s="375" t="s">
        <v>1003</v>
      </c>
      <c r="B62" s="384"/>
      <c r="C62" s="376" t="s">
        <v>391</v>
      </c>
      <c r="D62" s="358" t="s">
        <v>704</v>
      </c>
      <c r="E62" s="359">
        <v>1</v>
      </c>
      <c r="F62" s="334">
        <f t="shared" si="2"/>
        <v>90829.61</v>
      </c>
      <c r="G62" s="365">
        <f>НМЦК!K68</f>
        <v>90829.61</v>
      </c>
      <c r="H62" s="365">
        <f t="shared" si="4"/>
        <v>73431.58</v>
      </c>
      <c r="I62" s="365">
        <f>НМЦК!L68</f>
        <v>73431.58</v>
      </c>
    </row>
    <row r="63" spans="1:9" s="142" customFormat="1" ht="31.5" collapsed="1" x14ac:dyDescent="0.2">
      <c r="A63" s="132" t="s">
        <v>618</v>
      </c>
      <c r="B63" s="348" t="s">
        <v>1034</v>
      </c>
      <c r="C63" s="121" t="s">
        <v>219</v>
      </c>
      <c r="D63" s="329" t="s">
        <v>704</v>
      </c>
      <c r="E63" s="330">
        <v>1</v>
      </c>
      <c r="F63" s="334">
        <f t="shared" si="2"/>
        <v>1534531.61</v>
      </c>
      <c r="G63" s="334">
        <f>НМЦК!K69</f>
        <v>1534531.61</v>
      </c>
      <c r="H63" s="334">
        <f t="shared" si="4"/>
        <v>1224346.76</v>
      </c>
      <c r="I63" s="334">
        <f>НМЦК!L69</f>
        <v>1224346.76</v>
      </c>
    </row>
    <row r="64" spans="1:9" hidden="1" outlineLevel="1" x14ac:dyDescent="0.2">
      <c r="A64" s="375" t="s">
        <v>1004</v>
      </c>
      <c r="B64" s="384"/>
      <c r="C64" s="376" t="s">
        <v>394</v>
      </c>
      <c r="D64" s="358" t="s">
        <v>704</v>
      </c>
      <c r="E64" s="359">
        <v>1</v>
      </c>
      <c r="F64" s="334">
        <f t="shared" si="2"/>
        <v>104882.59</v>
      </c>
      <c r="G64" s="365">
        <f>НМЦК!K70</f>
        <v>104882.59</v>
      </c>
      <c r="H64" s="365">
        <f t="shared" si="4"/>
        <v>94405.31</v>
      </c>
      <c r="I64" s="365">
        <f>НМЦК!L70</f>
        <v>94405.31</v>
      </c>
    </row>
    <row r="65" spans="1:9" hidden="1" outlineLevel="1" x14ac:dyDescent="0.2">
      <c r="A65" s="375" t="s">
        <v>1005</v>
      </c>
      <c r="B65" s="384"/>
      <c r="C65" s="376" t="s">
        <v>395</v>
      </c>
      <c r="D65" s="358" t="s">
        <v>704</v>
      </c>
      <c r="E65" s="359">
        <v>1</v>
      </c>
      <c r="F65" s="334">
        <f t="shared" si="2"/>
        <v>1429649.04</v>
      </c>
      <c r="G65" s="365">
        <f>НМЦК!K71</f>
        <v>1429649.04</v>
      </c>
      <c r="H65" s="365">
        <f t="shared" si="4"/>
        <v>1129941.46</v>
      </c>
      <c r="I65" s="365">
        <f>НМЦК!L71</f>
        <v>1129941.46</v>
      </c>
    </row>
    <row r="66" spans="1:9" s="142" customFormat="1" collapsed="1" x14ac:dyDescent="0.2">
      <c r="A66" s="132" t="s">
        <v>619</v>
      </c>
      <c r="B66" s="348" t="s">
        <v>1035</v>
      </c>
      <c r="C66" s="121" t="s">
        <v>221</v>
      </c>
      <c r="D66" s="329" t="s">
        <v>704</v>
      </c>
      <c r="E66" s="330">
        <v>1</v>
      </c>
      <c r="F66" s="334">
        <f t="shared" si="2"/>
        <v>145358.48000000001</v>
      </c>
      <c r="G66" s="334">
        <f>НМЦК!K72</f>
        <v>145358.48000000001</v>
      </c>
      <c r="H66" s="334">
        <f t="shared" si="4"/>
        <v>25686.92</v>
      </c>
      <c r="I66" s="334">
        <f>НМЦК!L72</f>
        <v>25686.92</v>
      </c>
    </row>
    <row r="67" spans="1:9" ht="31.5" hidden="1" outlineLevel="1" x14ac:dyDescent="0.2">
      <c r="A67" s="375" t="s">
        <v>1182</v>
      </c>
      <c r="B67" s="384"/>
      <c r="C67" s="376" t="s">
        <v>381</v>
      </c>
      <c r="D67" s="358" t="s">
        <v>704</v>
      </c>
      <c r="E67" s="359">
        <v>1</v>
      </c>
      <c r="F67" s="334">
        <f t="shared" si="2"/>
        <v>30295.25</v>
      </c>
      <c r="G67" s="365">
        <f>НМЦК!K73</f>
        <v>30295.25</v>
      </c>
      <c r="H67" s="365">
        <f t="shared" si="4"/>
        <v>6457.08</v>
      </c>
      <c r="I67" s="365">
        <f>НМЦК!L73</f>
        <v>6457.08</v>
      </c>
    </row>
    <row r="68" spans="1:9" ht="34.5" hidden="1" customHeight="1" outlineLevel="1" x14ac:dyDescent="0.2">
      <c r="A68" s="375" t="s">
        <v>1183</v>
      </c>
      <c r="B68" s="384"/>
      <c r="C68" s="376" t="s">
        <v>382</v>
      </c>
      <c r="D68" s="358" t="s">
        <v>704</v>
      </c>
      <c r="E68" s="359">
        <v>1</v>
      </c>
      <c r="F68" s="334">
        <f t="shared" si="2"/>
        <v>31497.71</v>
      </c>
      <c r="G68" s="365">
        <f>НМЦК!K74</f>
        <v>31497.71</v>
      </c>
      <c r="H68" s="365">
        <f t="shared" si="4"/>
        <v>6409.94</v>
      </c>
      <c r="I68" s="365">
        <f>НМЦК!L74</f>
        <v>6409.94</v>
      </c>
    </row>
    <row r="69" spans="1:9" ht="31.5" hidden="1" outlineLevel="1" x14ac:dyDescent="0.2">
      <c r="A69" s="375" t="s">
        <v>1184</v>
      </c>
      <c r="B69" s="384"/>
      <c r="C69" s="376" t="s">
        <v>385</v>
      </c>
      <c r="D69" s="358" t="s">
        <v>704</v>
      </c>
      <c r="E69" s="359">
        <v>1</v>
      </c>
      <c r="F69" s="334">
        <f t="shared" si="2"/>
        <v>83565.48</v>
      </c>
      <c r="G69" s="365">
        <f>НМЦК!K75</f>
        <v>83565.48</v>
      </c>
      <c r="H69" s="365">
        <f t="shared" si="4"/>
        <v>12819.89</v>
      </c>
      <c r="I69" s="365">
        <f>НМЦК!L75</f>
        <v>12819.89</v>
      </c>
    </row>
    <row r="70" spans="1:9" s="142" customFormat="1" ht="47.25" collapsed="1" x14ac:dyDescent="0.2">
      <c r="A70" s="132" t="s">
        <v>620</v>
      </c>
      <c r="B70" s="348" t="s">
        <v>1036</v>
      </c>
      <c r="C70" s="327" t="s">
        <v>880</v>
      </c>
      <c r="D70" s="329" t="s">
        <v>704</v>
      </c>
      <c r="E70" s="330">
        <v>1</v>
      </c>
      <c r="F70" s="334">
        <f t="shared" si="2"/>
        <v>1728076.56</v>
      </c>
      <c r="G70" s="334">
        <f>НМЦК!K76</f>
        <v>1728076.56</v>
      </c>
      <c r="H70" s="334"/>
      <c r="I70" s="334">
        <f>НМЦК!L76</f>
        <v>0</v>
      </c>
    </row>
    <row r="71" spans="1:9" s="145" customFormat="1" ht="27" customHeight="1" x14ac:dyDescent="0.2">
      <c r="A71" s="134" t="s">
        <v>625</v>
      </c>
      <c r="B71" s="347" t="s">
        <v>1037</v>
      </c>
      <c r="C71" s="133" t="s">
        <v>38</v>
      </c>
      <c r="D71" s="120" t="s">
        <v>704</v>
      </c>
      <c r="E71" s="119">
        <v>1</v>
      </c>
      <c r="F71" s="150">
        <f>F72+F78+F82+F87+F93+F94+F100+F101+F105+F106+F110+F114+F115+F119</f>
        <v>92945421.969999999</v>
      </c>
      <c r="G71" s="150">
        <f>НМЦК!K77</f>
        <v>92945421.969999999</v>
      </c>
      <c r="H71" s="150">
        <f>I71</f>
        <v>8267651.6399999997</v>
      </c>
      <c r="I71" s="150">
        <f>НМЦК!L77</f>
        <v>8267651.6399999997</v>
      </c>
    </row>
    <row r="72" spans="1:9" s="142" customFormat="1" x14ac:dyDescent="0.2">
      <c r="A72" s="132" t="s">
        <v>626</v>
      </c>
      <c r="B72" s="348" t="s">
        <v>1038</v>
      </c>
      <c r="C72" s="121" t="s">
        <v>197</v>
      </c>
      <c r="D72" s="329" t="s">
        <v>704</v>
      </c>
      <c r="E72" s="330">
        <v>1</v>
      </c>
      <c r="F72" s="334">
        <f t="shared" ref="F72:F119" si="5">G72/E72</f>
        <v>31813122.52</v>
      </c>
      <c r="G72" s="334">
        <f>НМЦК!K78</f>
        <v>31813122.52</v>
      </c>
      <c r="H72" s="334"/>
      <c r="I72" s="328">
        <f>НМЦК!L78</f>
        <v>0</v>
      </c>
    </row>
    <row r="73" spans="1:9" hidden="1" outlineLevel="1" x14ac:dyDescent="0.2">
      <c r="A73" s="375" t="s">
        <v>910</v>
      </c>
      <c r="B73" s="384"/>
      <c r="C73" s="376" t="s">
        <v>409</v>
      </c>
      <c r="D73" s="358" t="s">
        <v>704</v>
      </c>
      <c r="E73" s="359">
        <v>1</v>
      </c>
      <c r="F73" s="334">
        <f t="shared" si="5"/>
        <v>2893552.61</v>
      </c>
      <c r="G73" s="365">
        <f>НМЦК!K79</f>
        <v>2893552.61</v>
      </c>
      <c r="H73" s="365"/>
      <c r="I73" s="365">
        <f>НМЦК!L79</f>
        <v>0</v>
      </c>
    </row>
    <row r="74" spans="1:9" hidden="1" outlineLevel="1" x14ac:dyDescent="0.2">
      <c r="A74" s="375" t="s">
        <v>911</v>
      </c>
      <c r="B74" s="384"/>
      <c r="C74" s="376" t="s">
        <v>411</v>
      </c>
      <c r="D74" s="358" t="s">
        <v>704</v>
      </c>
      <c r="E74" s="359">
        <v>1</v>
      </c>
      <c r="F74" s="334">
        <f t="shared" si="5"/>
        <v>6472549.3099999996</v>
      </c>
      <c r="G74" s="365">
        <f>НМЦК!K80</f>
        <v>6472549.3099999996</v>
      </c>
      <c r="H74" s="365"/>
      <c r="I74" s="365">
        <f>НМЦК!L80</f>
        <v>0</v>
      </c>
    </row>
    <row r="75" spans="1:9" hidden="1" outlineLevel="1" x14ac:dyDescent="0.2">
      <c r="A75" s="375" t="s">
        <v>912</v>
      </c>
      <c r="B75" s="384"/>
      <c r="C75" s="376" t="s">
        <v>412</v>
      </c>
      <c r="D75" s="358" t="s">
        <v>704</v>
      </c>
      <c r="E75" s="359">
        <v>1</v>
      </c>
      <c r="F75" s="334">
        <f t="shared" si="5"/>
        <v>12332130.35</v>
      </c>
      <c r="G75" s="365">
        <f>НМЦК!K81</f>
        <v>12332130.35</v>
      </c>
      <c r="H75" s="365"/>
      <c r="I75" s="365">
        <f>НМЦК!L81</f>
        <v>0</v>
      </c>
    </row>
    <row r="76" spans="1:9" hidden="1" outlineLevel="1" x14ac:dyDescent="0.2">
      <c r="A76" s="375" t="s">
        <v>913</v>
      </c>
      <c r="B76" s="384"/>
      <c r="C76" s="376" t="s">
        <v>347</v>
      </c>
      <c r="D76" s="358" t="s">
        <v>704</v>
      </c>
      <c r="E76" s="359">
        <v>1</v>
      </c>
      <c r="F76" s="334">
        <f t="shared" si="5"/>
        <v>3431834.33</v>
      </c>
      <c r="G76" s="365">
        <f>НМЦК!K82</f>
        <v>3431834.33</v>
      </c>
      <c r="H76" s="365"/>
      <c r="I76" s="365">
        <f>НМЦК!L82</f>
        <v>0</v>
      </c>
    </row>
    <row r="77" spans="1:9" s="143" customFormat="1" ht="31.5" hidden="1" outlineLevel="1" x14ac:dyDescent="0.2">
      <c r="A77" s="375" t="s">
        <v>914</v>
      </c>
      <c r="B77" s="384" t="s">
        <v>223</v>
      </c>
      <c r="C77" s="376" t="s">
        <v>224</v>
      </c>
      <c r="D77" s="358" t="s">
        <v>704</v>
      </c>
      <c r="E77" s="359">
        <v>1</v>
      </c>
      <c r="F77" s="334">
        <f t="shared" si="5"/>
        <v>6683055.9199999999</v>
      </c>
      <c r="G77" s="365">
        <f>НМЦК!K83</f>
        <v>6683055.9199999999</v>
      </c>
      <c r="H77" s="365"/>
      <c r="I77" s="365">
        <f>НМЦК!L83</f>
        <v>0</v>
      </c>
    </row>
    <row r="78" spans="1:9" s="142" customFormat="1" ht="31.5" collapsed="1" x14ac:dyDescent="0.2">
      <c r="A78" s="132" t="s">
        <v>660</v>
      </c>
      <c r="B78" s="348" t="s">
        <v>1039</v>
      </c>
      <c r="C78" s="121" t="s">
        <v>199</v>
      </c>
      <c r="D78" s="329" t="s">
        <v>704</v>
      </c>
      <c r="E78" s="330">
        <v>1</v>
      </c>
      <c r="F78" s="334">
        <f t="shared" si="5"/>
        <v>17752915.629999999</v>
      </c>
      <c r="G78" s="334">
        <f>НМЦК!K84</f>
        <v>17752915.629999999</v>
      </c>
      <c r="H78" s="334"/>
      <c r="I78" s="334">
        <f>НМЦК!L84</f>
        <v>0</v>
      </c>
    </row>
    <row r="79" spans="1:9" hidden="1" outlineLevel="1" x14ac:dyDescent="0.2">
      <c r="A79" s="375" t="s">
        <v>1116</v>
      </c>
      <c r="B79" s="384"/>
      <c r="C79" s="376" t="s">
        <v>351</v>
      </c>
      <c r="D79" s="358" t="s">
        <v>704</v>
      </c>
      <c r="E79" s="359">
        <v>1</v>
      </c>
      <c r="F79" s="334">
        <f t="shared" si="5"/>
        <v>8900103.75</v>
      </c>
      <c r="G79" s="365">
        <f>НМЦК!K85</f>
        <v>8900103.75</v>
      </c>
      <c r="H79" s="365"/>
      <c r="I79" s="365">
        <f>НМЦК!L85</f>
        <v>0</v>
      </c>
    </row>
    <row r="80" spans="1:9" hidden="1" outlineLevel="1" x14ac:dyDescent="0.2">
      <c r="A80" s="375" t="s">
        <v>1117</v>
      </c>
      <c r="B80" s="384"/>
      <c r="C80" s="376" t="s">
        <v>417</v>
      </c>
      <c r="D80" s="358" t="s">
        <v>704</v>
      </c>
      <c r="E80" s="359">
        <v>1</v>
      </c>
      <c r="F80" s="334">
        <f t="shared" si="5"/>
        <v>8852811.8599999994</v>
      </c>
      <c r="G80" s="365">
        <f>НМЦК!K86</f>
        <v>8852811.8599999994</v>
      </c>
      <c r="H80" s="365"/>
      <c r="I80" s="365">
        <f>НМЦК!L86</f>
        <v>0</v>
      </c>
    </row>
    <row r="81" spans="1:9" s="137" customFormat="1" hidden="1" outlineLevel="1" x14ac:dyDescent="0.2">
      <c r="A81" s="375"/>
      <c r="B81" s="384"/>
      <c r="C81" s="376"/>
      <c r="D81" s="358"/>
      <c r="E81" s="359"/>
      <c r="F81" s="334" t="e">
        <f t="shared" si="5"/>
        <v>#DIV/0!</v>
      </c>
      <c r="G81" s="365">
        <f>НМЦК!K87</f>
        <v>0</v>
      </c>
      <c r="H81" s="365"/>
      <c r="I81" s="365">
        <f>НМЦК!L87</f>
        <v>0</v>
      </c>
    </row>
    <row r="82" spans="1:9" s="142" customFormat="1" ht="20.25" customHeight="1" collapsed="1" x14ac:dyDescent="0.2">
      <c r="A82" s="132" t="s">
        <v>661</v>
      </c>
      <c r="B82" s="348" t="s">
        <v>1040</v>
      </c>
      <c r="C82" s="121" t="s">
        <v>201</v>
      </c>
      <c r="D82" s="329" t="s">
        <v>704</v>
      </c>
      <c r="E82" s="330">
        <v>1</v>
      </c>
      <c r="F82" s="334">
        <f t="shared" si="5"/>
        <v>4757353.08</v>
      </c>
      <c r="G82" s="334">
        <f>НМЦК!K88</f>
        <v>4757353.08</v>
      </c>
      <c r="H82" s="334"/>
      <c r="I82" s="328">
        <f>НМЦК!L88</f>
        <v>0</v>
      </c>
    </row>
    <row r="83" spans="1:9" ht="20.25" hidden="1" customHeight="1" outlineLevel="1" x14ac:dyDescent="0.2">
      <c r="A83" s="375" t="s">
        <v>915</v>
      </c>
      <c r="B83" s="384"/>
      <c r="C83" s="376" t="s">
        <v>356</v>
      </c>
      <c r="D83" s="358" t="s">
        <v>704</v>
      </c>
      <c r="E83" s="359">
        <v>1</v>
      </c>
      <c r="F83" s="334">
        <f t="shared" si="5"/>
        <v>791274.13</v>
      </c>
      <c r="G83" s="365">
        <f>НМЦК!K89</f>
        <v>791274.13</v>
      </c>
      <c r="H83" s="365"/>
      <c r="I83" s="365">
        <f>НМЦК!L89</f>
        <v>0</v>
      </c>
    </row>
    <row r="84" spans="1:9" ht="20.25" hidden="1" customHeight="1" outlineLevel="1" x14ac:dyDescent="0.2">
      <c r="A84" s="375" t="s">
        <v>916</v>
      </c>
      <c r="B84" s="384"/>
      <c r="C84" s="376" t="s">
        <v>421</v>
      </c>
      <c r="D84" s="358" t="s">
        <v>704</v>
      </c>
      <c r="E84" s="359">
        <v>1</v>
      </c>
      <c r="F84" s="334">
        <f t="shared" si="5"/>
        <v>549624.07999999996</v>
      </c>
      <c r="G84" s="365">
        <f>НМЦК!K90</f>
        <v>549624.07999999996</v>
      </c>
      <c r="H84" s="365"/>
      <c r="I84" s="365">
        <f>НМЦК!L90</f>
        <v>0</v>
      </c>
    </row>
    <row r="85" spans="1:9" ht="20.25" hidden="1" customHeight="1" outlineLevel="1" x14ac:dyDescent="0.2">
      <c r="A85" s="375" t="s">
        <v>917</v>
      </c>
      <c r="B85" s="384"/>
      <c r="C85" s="376" t="s">
        <v>361</v>
      </c>
      <c r="D85" s="358" t="s">
        <v>704</v>
      </c>
      <c r="E85" s="359">
        <v>1</v>
      </c>
      <c r="F85" s="334">
        <f t="shared" si="5"/>
        <v>3412225.5</v>
      </c>
      <c r="G85" s="365">
        <f>НМЦК!K91</f>
        <v>3412225.5</v>
      </c>
      <c r="H85" s="365"/>
      <c r="I85" s="365">
        <f>НМЦК!L91</f>
        <v>0</v>
      </c>
    </row>
    <row r="86" spans="1:9" s="143" customFormat="1" ht="31.5" hidden="1" outlineLevel="1" x14ac:dyDescent="0.2">
      <c r="A86" s="375" t="s">
        <v>918</v>
      </c>
      <c r="B86" s="384" t="s">
        <v>225</v>
      </c>
      <c r="C86" s="376" t="s">
        <v>226</v>
      </c>
      <c r="D86" s="358" t="s">
        <v>704</v>
      </c>
      <c r="E86" s="359">
        <v>1</v>
      </c>
      <c r="F86" s="334">
        <f t="shared" si="5"/>
        <v>4229.3599999999997</v>
      </c>
      <c r="G86" s="365">
        <f>НМЦК!K92</f>
        <v>4229.3599999999997</v>
      </c>
      <c r="H86" s="365"/>
      <c r="I86" s="365">
        <f>НМЦК!L92</f>
        <v>0</v>
      </c>
    </row>
    <row r="87" spans="1:9" s="142" customFormat="1" ht="31.5" collapsed="1" x14ac:dyDescent="0.2">
      <c r="A87" s="132" t="s">
        <v>662</v>
      </c>
      <c r="B87" s="348" t="s">
        <v>1041</v>
      </c>
      <c r="C87" s="121" t="s">
        <v>203</v>
      </c>
      <c r="D87" s="329" t="s">
        <v>704</v>
      </c>
      <c r="E87" s="330">
        <v>1</v>
      </c>
      <c r="F87" s="334">
        <f t="shared" si="5"/>
        <v>4012178.68</v>
      </c>
      <c r="G87" s="334">
        <f>НМЦК!K93</f>
        <v>4012178.68</v>
      </c>
      <c r="H87" s="334">
        <f>I87</f>
        <v>3013569.98</v>
      </c>
      <c r="I87" s="328">
        <f>НМЦК!L93</f>
        <v>3013569.98</v>
      </c>
    </row>
    <row r="88" spans="1:9" s="143" customFormat="1" hidden="1" outlineLevel="1" x14ac:dyDescent="0.2">
      <c r="A88" s="375" t="s">
        <v>919</v>
      </c>
      <c r="B88" s="384"/>
      <c r="C88" s="376" t="s">
        <v>362</v>
      </c>
      <c r="D88" s="358" t="s">
        <v>704</v>
      </c>
      <c r="E88" s="359">
        <v>1</v>
      </c>
      <c r="F88" s="334">
        <f t="shared" si="5"/>
        <v>560005.25</v>
      </c>
      <c r="G88" s="365">
        <f>НМЦК!K94</f>
        <v>560005.25</v>
      </c>
      <c r="H88" s="365"/>
      <c r="I88" s="365">
        <f>НМЦК!L94</f>
        <v>0</v>
      </c>
    </row>
    <row r="89" spans="1:9" s="143" customFormat="1" hidden="1" outlineLevel="1" x14ac:dyDescent="0.2">
      <c r="A89" s="375" t="s">
        <v>920</v>
      </c>
      <c r="B89" s="384"/>
      <c r="C89" s="376" t="s">
        <v>364</v>
      </c>
      <c r="D89" s="358" t="s">
        <v>704</v>
      </c>
      <c r="E89" s="359">
        <v>1</v>
      </c>
      <c r="F89" s="334">
        <f t="shared" si="5"/>
        <v>3079194.05</v>
      </c>
      <c r="G89" s="365">
        <f>НМЦК!K95</f>
        <v>3079194.05</v>
      </c>
      <c r="H89" s="365">
        <f>I89</f>
        <v>2885700.99</v>
      </c>
      <c r="I89" s="365">
        <f>НМЦК!L95</f>
        <v>2885700.99</v>
      </c>
    </row>
    <row r="90" spans="1:9" s="143" customFormat="1" hidden="1" outlineLevel="1" x14ac:dyDescent="0.2">
      <c r="A90" s="375" t="s">
        <v>921</v>
      </c>
      <c r="B90" s="384"/>
      <c r="C90" s="376" t="s">
        <v>365</v>
      </c>
      <c r="D90" s="358" t="s">
        <v>704</v>
      </c>
      <c r="E90" s="359">
        <v>1</v>
      </c>
      <c r="F90" s="334">
        <f t="shared" si="5"/>
        <v>91455.61</v>
      </c>
      <c r="G90" s="365">
        <f>НМЦК!K96</f>
        <v>91455.61</v>
      </c>
      <c r="H90" s="365">
        <f>I90</f>
        <v>61177.27</v>
      </c>
      <c r="I90" s="365">
        <f>НМЦК!L96</f>
        <v>61177.27</v>
      </c>
    </row>
    <row r="91" spans="1:9" s="143" customFormat="1" hidden="1" outlineLevel="1" x14ac:dyDescent="0.2">
      <c r="A91" s="375" t="s">
        <v>922</v>
      </c>
      <c r="B91" s="384"/>
      <c r="C91" s="376" t="s">
        <v>368</v>
      </c>
      <c r="D91" s="358" t="s">
        <v>704</v>
      </c>
      <c r="E91" s="359">
        <v>1</v>
      </c>
      <c r="F91" s="334">
        <f t="shared" si="5"/>
        <v>71209.440000000002</v>
      </c>
      <c r="G91" s="365">
        <f>НМЦК!K97</f>
        <v>71209.440000000002</v>
      </c>
      <c r="H91" s="365">
        <f>I91</f>
        <v>66691.72</v>
      </c>
      <c r="I91" s="365">
        <f>НМЦК!L97</f>
        <v>66691.72</v>
      </c>
    </row>
    <row r="92" spans="1:9" s="143" customFormat="1" ht="31.5" hidden="1" outlineLevel="1" x14ac:dyDescent="0.2">
      <c r="A92" s="375" t="s">
        <v>923</v>
      </c>
      <c r="B92" s="384" t="s">
        <v>227</v>
      </c>
      <c r="C92" s="376" t="s">
        <v>228</v>
      </c>
      <c r="D92" s="358" t="s">
        <v>704</v>
      </c>
      <c r="E92" s="359">
        <v>1</v>
      </c>
      <c r="F92" s="334">
        <f t="shared" si="5"/>
        <v>210314.35</v>
      </c>
      <c r="G92" s="365">
        <f>НМЦК!K98</f>
        <v>210314.35</v>
      </c>
      <c r="H92" s="365"/>
      <c r="I92" s="365">
        <f>НМЦК!L98</f>
        <v>0</v>
      </c>
    </row>
    <row r="93" spans="1:9" s="142" customFormat="1" ht="31.5" collapsed="1" x14ac:dyDescent="0.2">
      <c r="A93" s="132" t="s">
        <v>663</v>
      </c>
      <c r="B93" s="348" t="s">
        <v>1042</v>
      </c>
      <c r="C93" s="121" t="s">
        <v>205</v>
      </c>
      <c r="D93" s="329" t="s">
        <v>704</v>
      </c>
      <c r="E93" s="330">
        <v>1</v>
      </c>
      <c r="F93" s="334">
        <f t="shared" si="5"/>
        <v>133740.26</v>
      </c>
      <c r="G93" s="334">
        <f>НМЦК!K99</f>
        <v>133740.26</v>
      </c>
      <c r="H93" s="334">
        <f>I93</f>
        <v>29928.79</v>
      </c>
      <c r="I93" s="334">
        <f>НМЦК!L99</f>
        <v>29928.79</v>
      </c>
    </row>
    <row r="94" spans="1:9" s="142" customFormat="1" ht="31.5" x14ac:dyDescent="0.2">
      <c r="A94" s="132" t="s">
        <v>664</v>
      </c>
      <c r="B94" s="348" t="s">
        <v>1043</v>
      </c>
      <c r="C94" s="121" t="s">
        <v>207</v>
      </c>
      <c r="D94" s="329" t="s">
        <v>704</v>
      </c>
      <c r="E94" s="330">
        <v>1</v>
      </c>
      <c r="F94" s="334">
        <f t="shared" si="5"/>
        <v>6437133.8499999996</v>
      </c>
      <c r="G94" s="334">
        <f>НМЦК!K100</f>
        <v>6437133.8499999996</v>
      </c>
      <c r="H94" s="334">
        <f>I94</f>
        <v>4762212.59</v>
      </c>
      <c r="I94" s="328">
        <f>НМЦК!L100</f>
        <v>4762212.59</v>
      </c>
    </row>
    <row r="95" spans="1:9" hidden="1" outlineLevel="1" x14ac:dyDescent="0.2">
      <c r="A95" s="375" t="s">
        <v>924</v>
      </c>
      <c r="B95" s="384"/>
      <c r="C95" s="376" t="s">
        <v>362</v>
      </c>
      <c r="D95" s="358" t="s">
        <v>704</v>
      </c>
      <c r="E95" s="359">
        <v>1</v>
      </c>
      <c r="F95" s="334">
        <f t="shared" si="5"/>
        <v>889222.18</v>
      </c>
      <c r="G95" s="365">
        <f>НМЦК!K101</f>
        <v>889222.18</v>
      </c>
      <c r="H95" s="502"/>
      <c r="I95" s="365">
        <f>НМЦК!L101</f>
        <v>0</v>
      </c>
    </row>
    <row r="96" spans="1:9" hidden="1" outlineLevel="1" x14ac:dyDescent="0.2">
      <c r="A96" s="375" t="s">
        <v>925</v>
      </c>
      <c r="B96" s="384"/>
      <c r="C96" s="376" t="s">
        <v>364</v>
      </c>
      <c r="D96" s="358" t="s">
        <v>704</v>
      </c>
      <c r="E96" s="359">
        <v>1</v>
      </c>
      <c r="F96" s="334">
        <f t="shared" si="5"/>
        <v>4907585.42</v>
      </c>
      <c r="G96" s="365">
        <f>НМЦК!K102</f>
        <v>4907585.42</v>
      </c>
      <c r="H96" s="365">
        <f>I96</f>
        <v>4633542.3499999996</v>
      </c>
      <c r="I96" s="365">
        <f>НМЦК!L102</f>
        <v>4633542.3499999996</v>
      </c>
    </row>
    <row r="97" spans="1:9" hidden="1" outlineLevel="1" x14ac:dyDescent="0.2">
      <c r="A97" s="375" t="s">
        <v>926</v>
      </c>
      <c r="B97" s="384"/>
      <c r="C97" s="376" t="s">
        <v>365</v>
      </c>
      <c r="D97" s="358" t="s">
        <v>704</v>
      </c>
      <c r="E97" s="359">
        <v>1</v>
      </c>
      <c r="F97" s="334">
        <f t="shared" si="5"/>
        <v>226777.14</v>
      </c>
      <c r="G97" s="365">
        <f>НМЦК!K103</f>
        <v>226777.14</v>
      </c>
      <c r="H97" s="365">
        <f>I97</f>
        <v>64523.65</v>
      </c>
      <c r="I97" s="365">
        <f>НМЦК!L103</f>
        <v>64523.65</v>
      </c>
    </row>
    <row r="98" spans="1:9" hidden="1" outlineLevel="1" x14ac:dyDescent="0.2">
      <c r="A98" s="375" t="s">
        <v>927</v>
      </c>
      <c r="B98" s="384"/>
      <c r="C98" s="376" t="s">
        <v>368</v>
      </c>
      <c r="D98" s="358" t="s">
        <v>704</v>
      </c>
      <c r="E98" s="359">
        <v>1</v>
      </c>
      <c r="F98" s="334">
        <f t="shared" si="5"/>
        <v>68952.67</v>
      </c>
      <c r="G98" s="365">
        <f>НМЦК!K104</f>
        <v>68952.67</v>
      </c>
      <c r="H98" s="365">
        <f>I98</f>
        <v>64146.58</v>
      </c>
      <c r="I98" s="365">
        <f>НМЦК!L104</f>
        <v>64146.58</v>
      </c>
    </row>
    <row r="99" spans="1:9" s="143" customFormat="1" ht="31.5" hidden="1" outlineLevel="1" x14ac:dyDescent="0.2">
      <c r="A99" s="375" t="s">
        <v>928</v>
      </c>
      <c r="B99" s="384" t="s">
        <v>229</v>
      </c>
      <c r="C99" s="376" t="s">
        <v>230</v>
      </c>
      <c r="D99" s="358" t="s">
        <v>704</v>
      </c>
      <c r="E99" s="359">
        <v>1</v>
      </c>
      <c r="F99" s="334">
        <f t="shared" si="5"/>
        <v>344596.43</v>
      </c>
      <c r="G99" s="365">
        <f>НМЦК!K105</f>
        <v>344596.43</v>
      </c>
      <c r="H99" s="365"/>
      <c r="I99" s="365">
        <f>НМЦК!L105</f>
        <v>0</v>
      </c>
    </row>
    <row r="100" spans="1:9" s="142" customFormat="1" ht="31.5" collapsed="1" x14ac:dyDescent="0.2">
      <c r="A100" s="132" t="s">
        <v>665</v>
      </c>
      <c r="B100" s="348" t="s">
        <v>1044</v>
      </c>
      <c r="C100" s="121" t="s">
        <v>209</v>
      </c>
      <c r="D100" s="329" t="s">
        <v>704</v>
      </c>
      <c r="E100" s="330">
        <v>1</v>
      </c>
      <c r="F100" s="334">
        <f t="shared" si="5"/>
        <v>547778.46</v>
      </c>
      <c r="G100" s="334">
        <f>НМЦК!K106</f>
        <v>547778.46</v>
      </c>
      <c r="H100" s="334">
        <f>I100</f>
        <v>64382.25</v>
      </c>
      <c r="I100" s="334">
        <f>НМЦК!L106</f>
        <v>64382.25</v>
      </c>
    </row>
    <row r="101" spans="1:9" s="142" customFormat="1" ht="21.75" customHeight="1" x14ac:dyDescent="0.2">
      <c r="A101" s="132" t="s">
        <v>666</v>
      </c>
      <c r="B101" s="348" t="s">
        <v>1045</v>
      </c>
      <c r="C101" s="121" t="s">
        <v>211</v>
      </c>
      <c r="D101" s="329" t="s">
        <v>704</v>
      </c>
      <c r="E101" s="330">
        <v>1</v>
      </c>
      <c r="F101" s="334">
        <f t="shared" si="5"/>
        <v>23473504.609999999</v>
      </c>
      <c r="G101" s="334">
        <f>НМЦК!K107</f>
        <v>23473504.609999999</v>
      </c>
      <c r="H101" s="334"/>
      <c r="I101" s="328">
        <f>НМЦК!L107</f>
        <v>0</v>
      </c>
    </row>
    <row r="102" spans="1:9" ht="15" hidden="1" customHeight="1" outlineLevel="1" x14ac:dyDescent="0.2">
      <c r="A102" s="375" t="s">
        <v>929</v>
      </c>
      <c r="B102" s="384"/>
      <c r="C102" s="376" t="s">
        <v>433</v>
      </c>
      <c r="D102" s="358" t="s">
        <v>704</v>
      </c>
      <c r="E102" s="359">
        <v>1</v>
      </c>
      <c r="F102" s="334">
        <f t="shared" si="5"/>
        <v>7167605.6100000003</v>
      </c>
      <c r="G102" s="365">
        <f>НМЦК!K108</f>
        <v>7167605.6100000003</v>
      </c>
      <c r="H102" s="365"/>
      <c r="I102" s="365">
        <f>НМЦК!L108</f>
        <v>0</v>
      </c>
    </row>
    <row r="103" spans="1:9" ht="15" hidden="1" customHeight="1" outlineLevel="1" x14ac:dyDescent="0.2">
      <c r="A103" s="375" t="s">
        <v>930</v>
      </c>
      <c r="B103" s="384"/>
      <c r="C103" s="376" t="s">
        <v>364</v>
      </c>
      <c r="D103" s="358" t="s">
        <v>704</v>
      </c>
      <c r="E103" s="359">
        <v>1</v>
      </c>
      <c r="F103" s="334">
        <f t="shared" si="5"/>
        <v>10834073.09</v>
      </c>
      <c r="G103" s="365">
        <f>НМЦК!K109</f>
        <v>10834073.09</v>
      </c>
      <c r="H103" s="365"/>
      <c r="I103" s="365">
        <f>НМЦК!L109</f>
        <v>0</v>
      </c>
    </row>
    <row r="104" spans="1:9" s="143" customFormat="1" ht="31.5" hidden="1" outlineLevel="1" x14ac:dyDescent="0.2">
      <c r="A104" s="375" t="s">
        <v>931</v>
      </c>
      <c r="B104" s="384" t="s">
        <v>231</v>
      </c>
      <c r="C104" s="376" t="s">
        <v>232</v>
      </c>
      <c r="D104" s="358" t="s">
        <v>704</v>
      </c>
      <c r="E104" s="359">
        <v>1</v>
      </c>
      <c r="F104" s="334">
        <f t="shared" si="5"/>
        <v>5471825.9299999997</v>
      </c>
      <c r="G104" s="365">
        <f>НМЦК!K110</f>
        <v>5471825.9299999997</v>
      </c>
      <c r="H104" s="365"/>
      <c r="I104" s="365">
        <f>НМЦК!L110</f>
        <v>0</v>
      </c>
    </row>
    <row r="105" spans="1:9" s="142" customFormat="1" ht="31.5" collapsed="1" x14ac:dyDescent="0.2">
      <c r="A105" s="132" t="s">
        <v>667</v>
      </c>
      <c r="B105" s="348" t="s">
        <v>1046</v>
      </c>
      <c r="C105" s="121" t="s">
        <v>213</v>
      </c>
      <c r="D105" s="329" t="s">
        <v>704</v>
      </c>
      <c r="E105" s="330">
        <v>1</v>
      </c>
      <c r="F105" s="334">
        <f t="shared" si="5"/>
        <v>867952.02</v>
      </c>
      <c r="G105" s="334">
        <f>НМЦК!K111</f>
        <v>867952.02</v>
      </c>
      <c r="H105" s="334">
        <f>I105</f>
        <v>23330.32</v>
      </c>
      <c r="I105" s="334">
        <f>НМЦК!L111</f>
        <v>23330.32</v>
      </c>
    </row>
    <row r="106" spans="1:9" s="142" customFormat="1" ht="21" customHeight="1" x14ac:dyDescent="0.2">
      <c r="A106" s="132" t="s">
        <v>668</v>
      </c>
      <c r="B106" s="348" t="s">
        <v>1047</v>
      </c>
      <c r="C106" s="121" t="s">
        <v>215</v>
      </c>
      <c r="D106" s="329" t="s">
        <v>704</v>
      </c>
      <c r="E106" s="330">
        <v>1</v>
      </c>
      <c r="F106" s="334">
        <f t="shared" si="5"/>
        <v>177133.45</v>
      </c>
      <c r="G106" s="334">
        <f>НМЦК!K112</f>
        <v>177133.45</v>
      </c>
      <c r="H106" s="334">
        <f>I106</f>
        <v>78993.149999999994</v>
      </c>
      <c r="I106" s="334">
        <f>НМЦК!L112</f>
        <v>78993.149999999994</v>
      </c>
    </row>
    <row r="107" spans="1:9" ht="31.5" hidden="1" outlineLevel="1" x14ac:dyDescent="0.2">
      <c r="A107" s="375" t="s">
        <v>1185</v>
      </c>
      <c r="B107" s="384"/>
      <c r="C107" s="376" t="s">
        <v>381</v>
      </c>
      <c r="D107" s="358" t="s">
        <v>704</v>
      </c>
      <c r="E107" s="359">
        <v>1</v>
      </c>
      <c r="F107" s="334">
        <f t="shared" si="5"/>
        <v>41515.24</v>
      </c>
      <c r="G107" s="365">
        <f>НМЦК!K113</f>
        <v>41515.24</v>
      </c>
      <c r="H107" s="365"/>
      <c r="I107" s="365">
        <f>НМЦК!L113</f>
        <v>19983.96</v>
      </c>
    </row>
    <row r="108" spans="1:9" ht="31.5" hidden="1" outlineLevel="1" x14ac:dyDescent="0.2">
      <c r="A108" s="375" t="s">
        <v>1186</v>
      </c>
      <c r="B108" s="384"/>
      <c r="C108" s="376" t="s">
        <v>382</v>
      </c>
      <c r="D108" s="358" t="s">
        <v>704</v>
      </c>
      <c r="E108" s="359">
        <v>1</v>
      </c>
      <c r="F108" s="334">
        <f t="shared" si="5"/>
        <v>42284.19</v>
      </c>
      <c r="G108" s="365">
        <f>НМЦК!K114</f>
        <v>42284.19</v>
      </c>
      <c r="H108" s="365"/>
      <c r="I108" s="365">
        <f>НМЦК!L114</f>
        <v>19983.95</v>
      </c>
    </row>
    <row r="109" spans="1:9" ht="31.5" hidden="1" outlineLevel="1" x14ac:dyDescent="0.2">
      <c r="A109" s="375" t="s">
        <v>1187</v>
      </c>
      <c r="B109" s="384"/>
      <c r="C109" s="376" t="s">
        <v>385</v>
      </c>
      <c r="D109" s="358" t="s">
        <v>704</v>
      </c>
      <c r="E109" s="359">
        <v>1</v>
      </c>
      <c r="F109" s="334">
        <f t="shared" si="5"/>
        <v>93334.04</v>
      </c>
      <c r="G109" s="365">
        <f>НМЦК!K115</f>
        <v>93334.04</v>
      </c>
      <c r="H109" s="365"/>
      <c r="I109" s="365">
        <f>НМЦК!L115</f>
        <v>39025.26</v>
      </c>
    </row>
    <row r="110" spans="1:9" s="142" customFormat="1" ht="20.25" customHeight="1" collapsed="1" x14ac:dyDescent="0.2">
      <c r="A110" s="132" t="s">
        <v>669</v>
      </c>
      <c r="B110" s="348" t="s">
        <v>1048</v>
      </c>
      <c r="C110" s="121" t="s">
        <v>217</v>
      </c>
      <c r="D110" s="329" t="s">
        <v>704</v>
      </c>
      <c r="E110" s="330">
        <v>1</v>
      </c>
      <c r="F110" s="334">
        <f t="shared" si="5"/>
        <v>303589.93</v>
      </c>
      <c r="G110" s="334">
        <f>НМЦК!K116</f>
        <v>303589.93</v>
      </c>
      <c r="H110" s="334">
        <f>I110</f>
        <v>190743.01</v>
      </c>
      <c r="I110" s="334">
        <f>НМЦК!L116</f>
        <v>190743.01</v>
      </c>
    </row>
    <row r="111" spans="1:9" hidden="1" outlineLevel="1" x14ac:dyDescent="0.2">
      <c r="A111" s="375" t="s">
        <v>1188</v>
      </c>
      <c r="B111" s="384"/>
      <c r="C111" s="376" t="s">
        <v>389</v>
      </c>
      <c r="D111" s="358" t="s">
        <v>704</v>
      </c>
      <c r="E111" s="359">
        <v>1</v>
      </c>
      <c r="F111" s="334">
        <f t="shared" si="5"/>
        <v>47509.09</v>
      </c>
      <c r="G111" s="365">
        <f>НМЦК!K117</f>
        <v>47509.09</v>
      </c>
      <c r="H111" s="365">
        <f>I111</f>
        <v>27996.38</v>
      </c>
      <c r="I111" s="365">
        <f>НМЦК!L117</f>
        <v>27996.38</v>
      </c>
    </row>
    <row r="112" spans="1:9" hidden="1" outlineLevel="1" x14ac:dyDescent="0.2">
      <c r="A112" s="375" t="s">
        <v>1189</v>
      </c>
      <c r="B112" s="384"/>
      <c r="C112" s="376" t="s">
        <v>390</v>
      </c>
      <c r="D112" s="358" t="s">
        <v>704</v>
      </c>
      <c r="E112" s="359">
        <v>1</v>
      </c>
      <c r="F112" s="334">
        <f t="shared" si="5"/>
        <v>54436.12</v>
      </c>
      <c r="G112" s="365">
        <f>НМЦК!K118</f>
        <v>54436.12</v>
      </c>
      <c r="H112" s="365">
        <f t="shared" ref="H112:H113" si="6">I112</f>
        <v>30117.32</v>
      </c>
      <c r="I112" s="365">
        <f>НМЦК!L118</f>
        <v>30117.32</v>
      </c>
    </row>
    <row r="113" spans="1:9" ht="21" hidden="1" customHeight="1" outlineLevel="1" x14ac:dyDescent="0.2">
      <c r="A113" s="375" t="s">
        <v>1190</v>
      </c>
      <c r="B113" s="384"/>
      <c r="C113" s="376" t="s">
        <v>441</v>
      </c>
      <c r="D113" s="358" t="s">
        <v>704</v>
      </c>
      <c r="E113" s="359">
        <v>1</v>
      </c>
      <c r="F113" s="334">
        <f t="shared" si="5"/>
        <v>201644.73</v>
      </c>
      <c r="G113" s="365">
        <f>НМЦК!K119</f>
        <v>201644.73</v>
      </c>
      <c r="H113" s="365">
        <f t="shared" si="6"/>
        <v>132629.32</v>
      </c>
      <c r="I113" s="365">
        <f>НМЦК!L119</f>
        <v>132629.32</v>
      </c>
    </row>
    <row r="114" spans="1:9" s="142" customFormat="1" ht="31.5" collapsed="1" x14ac:dyDescent="0.2">
      <c r="A114" s="132" t="s">
        <v>670</v>
      </c>
      <c r="B114" s="348" t="s">
        <v>1049</v>
      </c>
      <c r="C114" s="121" t="s">
        <v>219</v>
      </c>
      <c r="D114" s="329" t="s">
        <v>704</v>
      </c>
      <c r="E114" s="330">
        <v>1</v>
      </c>
      <c r="F114" s="334">
        <f t="shared" si="5"/>
        <v>95396.05</v>
      </c>
      <c r="G114" s="334">
        <f>НМЦК!K120</f>
        <v>95396.05</v>
      </c>
      <c r="H114" s="334">
        <f>I114</f>
        <v>85591.63</v>
      </c>
      <c r="I114" s="334">
        <f>НМЦК!L120</f>
        <v>85591.63</v>
      </c>
    </row>
    <row r="115" spans="1:9" s="142" customFormat="1" ht="21" customHeight="1" x14ac:dyDescent="0.2">
      <c r="A115" s="132" t="s">
        <v>671</v>
      </c>
      <c r="B115" s="348" t="s">
        <v>1050</v>
      </c>
      <c r="C115" s="121" t="s">
        <v>221</v>
      </c>
      <c r="D115" s="329" t="s">
        <v>704</v>
      </c>
      <c r="E115" s="330">
        <v>1</v>
      </c>
      <c r="F115" s="334">
        <f t="shared" si="5"/>
        <v>93394.28</v>
      </c>
      <c r="G115" s="334">
        <f>НМЦК!K121</f>
        <v>93394.28</v>
      </c>
      <c r="H115" s="334">
        <f>I115</f>
        <v>18899.919999999998</v>
      </c>
      <c r="I115" s="334">
        <f>НМЦК!L121</f>
        <v>18899.919999999998</v>
      </c>
    </row>
    <row r="116" spans="1:9" ht="31.5" hidden="1" outlineLevel="1" x14ac:dyDescent="0.2">
      <c r="A116" s="375" t="s">
        <v>1191</v>
      </c>
      <c r="B116" s="384"/>
      <c r="C116" s="376" t="s">
        <v>381</v>
      </c>
      <c r="D116" s="358" t="s">
        <v>704</v>
      </c>
      <c r="E116" s="359">
        <v>1</v>
      </c>
      <c r="F116" s="334">
        <f t="shared" si="5"/>
        <v>25059.43</v>
      </c>
      <c r="G116" s="365">
        <f>НМЦК!K122</f>
        <v>25059.43</v>
      </c>
      <c r="H116" s="365">
        <f t="shared" ref="H116:H118" si="7">I116</f>
        <v>6315.68</v>
      </c>
      <c r="I116" s="365">
        <f>НМЦК!L122</f>
        <v>6315.68</v>
      </c>
    </row>
    <row r="117" spans="1:9" ht="31.5" hidden="1" outlineLevel="1" x14ac:dyDescent="0.2">
      <c r="A117" s="375" t="s">
        <v>1192</v>
      </c>
      <c r="B117" s="384"/>
      <c r="C117" s="376" t="s">
        <v>382</v>
      </c>
      <c r="D117" s="358" t="s">
        <v>704</v>
      </c>
      <c r="E117" s="359">
        <v>1</v>
      </c>
      <c r="F117" s="334">
        <f t="shared" si="5"/>
        <v>31497.71</v>
      </c>
      <c r="G117" s="365">
        <f>НМЦК!K123</f>
        <v>31497.71</v>
      </c>
      <c r="H117" s="365">
        <f t="shared" si="7"/>
        <v>6409.94</v>
      </c>
      <c r="I117" s="365">
        <f>НМЦК!L123</f>
        <v>6409.94</v>
      </c>
    </row>
    <row r="118" spans="1:9" ht="31.5" hidden="1" outlineLevel="1" x14ac:dyDescent="0.2">
      <c r="A118" s="375" t="s">
        <v>1193</v>
      </c>
      <c r="B118" s="384"/>
      <c r="C118" s="376" t="s">
        <v>385</v>
      </c>
      <c r="D118" s="358" t="s">
        <v>704</v>
      </c>
      <c r="E118" s="359">
        <v>1</v>
      </c>
      <c r="F118" s="334">
        <f t="shared" si="5"/>
        <v>36837.129999999997</v>
      </c>
      <c r="G118" s="365">
        <f>НМЦК!K124</f>
        <v>36837.129999999997</v>
      </c>
      <c r="H118" s="365">
        <f t="shared" si="7"/>
        <v>6174.29</v>
      </c>
      <c r="I118" s="365">
        <f>НМЦК!L124</f>
        <v>6174.29</v>
      </c>
    </row>
    <row r="119" spans="1:9" s="142" customFormat="1" ht="47.25" collapsed="1" x14ac:dyDescent="0.2">
      <c r="A119" s="132" t="s">
        <v>672</v>
      </c>
      <c r="B119" s="348" t="s">
        <v>1051</v>
      </c>
      <c r="C119" s="327" t="s">
        <v>880</v>
      </c>
      <c r="D119" s="329" t="s">
        <v>704</v>
      </c>
      <c r="E119" s="330">
        <v>1</v>
      </c>
      <c r="F119" s="334">
        <f t="shared" si="5"/>
        <v>2480229.15</v>
      </c>
      <c r="G119" s="334">
        <f>НМЦК!K125</f>
        <v>2480229.15</v>
      </c>
      <c r="H119" s="334"/>
      <c r="I119" s="334"/>
    </row>
    <row r="120" spans="1:9" s="145" customFormat="1" x14ac:dyDescent="0.2">
      <c r="A120" s="134" t="s">
        <v>673</v>
      </c>
      <c r="B120" s="347" t="s">
        <v>1052</v>
      </c>
      <c r="C120" s="133" t="s">
        <v>40</v>
      </c>
      <c r="D120" s="120" t="s">
        <v>704</v>
      </c>
      <c r="E120" s="119">
        <v>1</v>
      </c>
      <c r="F120" s="150">
        <f>F121+F143+F170</f>
        <v>533293386.87</v>
      </c>
      <c r="G120" s="150">
        <f>НМЦК!K126</f>
        <v>533293386.87</v>
      </c>
      <c r="H120" s="150"/>
      <c r="I120" s="150"/>
    </row>
    <row r="121" spans="1:9" ht="47.25" x14ac:dyDescent="0.2">
      <c r="A121" s="326" t="s">
        <v>674</v>
      </c>
      <c r="B121" s="518" t="s">
        <v>1053</v>
      </c>
      <c r="C121" s="518" t="s">
        <v>1008</v>
      </c>
      <c r="D121" s="329" t="s">
        <v>704</v>
      </c>
      <c r="E121" s="330">
        <v>1</v>
      </c>
      <c r="F121" s="334">
        <f t="shared" ref="F121:F152" si="8">G121/E121</f>
        <v>59999571.979999997</v>
      </c>
      <c r="G121" s="334">
        <f>НМЦК!K127</f>
        <v>59999571.979999997</v>
      </c>
      <c r="H121" s="334"/>
      <c r="I121" s="328"/>
    </row>
    <row r="122" spans="1:9" hidden="1" outlineLevel="1" x14ac:dyDescent="0.2">
      <c r="A122" s="356" t="s">
        <v>932</v>
      </c>
      <c r="B122" s="357" t="s">
        <v>317</v>
      </c>
      <c r="C122" s="357" t="s">
        <v>318</v>
      </c>
      <c r="D122" s="358" t="s">
        <v>704</v>
      </c>
      <c r="E122" s="359">
        <v>1</v>
      </c>
      <c r="F122" s="334">
        <f t="shared" si="8"/>
        <v>43870921.439999998</v>
      </c>
      <c r="G122" s="365">
        <f>НМЦК!K128</f>
        <v>43870921.439999998</v>
      </c>
      <c r="H122" s="365"/>
      <c r="I122" s="360"/>
    </row>
    <row r="123" spans="1:9" s="145" customFormat="1" hidden="1" outlineLevel="2" x14ac:dyDescent="0.2">
      <c r="A123" s="354" t="s">
        <v>940</v>
      </c>
      <c r="B123" s="355"/>
      <c r="C123" s="355" t="s">
        <v>374</v>
      </c>
      <c r="D123" s="336" t="s">
        <v>704</v>
      </c>
      <c r="E123" s="337">
        <v>1</v>
      </c>
      <c r="F123" s="334">
        <f t="shared" si="8"/>
        <v>1380019.77</v>
      </c>
      <c r="G123" s="341">
        <f>НМЦК!K129</f>
        <v>1380019.77</v>
      </c>
      <c r="H123" s="341"/>
      <c r="I123" s="362"/>
    </row>
    <row r="124" spans="1:9" s="145" customFormat="1" hidden="1" outlineLevel="2" x14ac:dyDescent="0.2">
      <c r="A124" s="354" t="s">
        <v>941</v>
      </c>
      <c r="B124" s="355"/>
      <c r="C124" s="355" t="s">
        <v>465</v>
      </c>
      <c r="D124" s="336" t="s">
        <v>704</v>
      </c>
      <c r="E124" s="337">
        <v>1</v>
      </c>
      <c r="F124" s="334">
        <f t="shared" si="8"/>
        <v>9223649.5299999993</v>
      </c>
      <c r="G124" s="341">
        <f>НМЦК!K130</f>
        <v>9223649.5299999993</v>
      </c>
      <c r="H124" s="341"/>
      <c r="I124" s="362"/>
    </row>
    <row r="125" spans="1:9" s="145" customFormat="1" hidden="1" outlineLevel="2" x14ac:dyDescent="0.2">
      <c r="A125" s="354" t="s">
        <v>942</v>
      </c>
      <c r="B125" s="355"/>
      <c r="C125" s="355" t="s">
        <v>466</v>
      </c>
      <c r="D125" s="336" t="s">
        <v>704</v>
      </c>
      <c r="E125" s="337">
        <v>1</v>
      </c>
      <c r="F125" s="334">
        <f t="shared" si="8"/>
        <v>1716638.07</v>
      </c>
      <c r="G125" s="341">
        <f>НМЦК!K131</f>
        <v>1716638.07</v>
      </c>
      <c r="H125" s="341"/>
      <c r="I125" s="362"/>
    </row>
    <row r="126" spans="1:9" s="145" customFormat="1" ht="31.5" hidden="1" outlineLevel="2" x14ac:dyDescent="0.2">
      <c r="A126" s="354" t="s">
        <v>943</v>
      </c>
      <c r="B126" s="355"/>
      <c r="C126" s="355" t="s">
        <v>467</v>
      </c>
      <c r="D126" s="336" t="s">
        <v>704</v>
      </c>
      <c r="E126" s="337">
        <v>1</v>
      </c>
      <c r="F126" s="334">
        <f t="shared" si="8"/>
        <v>24981270.149999999</v>
      </c>
      <c r="G126" s="341">
        <f>НМЦК!K132</f>
        <v>24981270.149999999</v>
      </c>
      <c r="H126" s="341"/>
      <c r="I126" s="362"/>
    </row>
    <row r="127" spans="1:9" s="145" customFormat="1" ht="31.5" hidden="1" outlineLevel="2" x14ac:dyDescent="0.2">
      <c r="A127" s="354" t="s">
        <v>944</v>
      </c>
      <c r="B127" s="355"/>
      <c r="C127" s="355" t="s">
        <v>468</v>
      </c>
      <c r="D127" s="336" t="s">
        <v>704</v>
      </c>
      <c r="E127" s="337">
        <v>1</v>
      </c>
      <c r="F127" s="334">
        <f t="shared" si="8"/>
        <v>363724.65</v>
      </c>
      <c r="G127" s="341">
        <f>НМЦК!K133</f>
        <v>363724.65</v>
      </c>
      <c r="H127" s="341"/>
      <c r="I127" s="362"/>
    </row>
    <row r="128" spans="1:9" s="145" customFormat="1" hidden="1" outlineLevel="2" x14ac:dyDescent="0.2">
      <c r="A128" s="354" t="s">
        <v>945</v>
      </c>
      <c r="B128" s="355"/>
      <c r="C128" s="355" t="s">
        <v>469</v>
      </c>
      <c r="D128" s="336" t="s">
        <v>704</v>
      </c>
      <c r="E128" s="337">
        <v>1</v>
      </c>
      <c r="F128" s="334">
        <f t="shared" si="8"/>
        <v>1569667.94</v>
      </c>
      <c r="G128" s="341">
        <f>НМЦК!K134</f>
        <v>1569667.94</v>
      </c>
      <c r="H128" s="341"/>
      <c r="I128" s="362"/>
    </row>
    <row r="129" spans="1:9" s="145" customFormat="1" ht="47.25" hidden="1" outlineLevel="2" x14ac:dyDescent="0.2">
      <c r="A129" s="354" t="s">
        <v>946</v>
      </c>
      <c r="B129" s="355" t="s">
        <v>334</v>
      </c>
      <c r="C129" s="355" t="s">
        <v>491</v>
      </c>
      <c r="D129" s="336" t="s">
        <v>704</v>
      </c>
      <c r="E129" s="337">
        <v>1</v>
      </c>
      <c r="F129" s="334">
        <f t="shared" si="8"/>
        <v>4635951.3099999996</v>
      </c>
      <c r="G129" s="341">
        <f>НМЦК!K135</f>
        <v>4635951.3099999996</v>
      </c>
      <c r="H129" s="341"/>
      <c r="I129" s="362"/>
    </row>
    <row r="130" spans="1:9" hidden="1" outlineLevel="1" x14ac:dyDescent="0.2">
      <c r="A130" s="356" t="s">
        <v>933</v>
      </c>
      <c r="B130" s="357" t="s">
        <v>321</v>
      </c>
      <c r="C130" s="357" t="s">
        <v>322</v>
      </c>
      <c r="D130" s="358" t="s">
        <v>704</v>
      </c>
      <c r="E130" s="359">
        <v>1</v>
      </c>
      <c r="F130" s="334">
        <f t="shared" si="8"/>
        <v>12656541.210000001</v>
      </c>
      <c r="G130" s="365">
        <f>НМЦК!K136</f>
        <v>12656541.210000001</v>
      </c>
      <c r="H130" s="365"/>
      <c r="I130" s="360"/>
    </row>
    <row r="131" spans="1:9" s="145" customFormat="1" hidden="1" outlineLevel="2" x14ac:dyDescent="0.2">
      <c r="A131" s="354" t="s">
        <v>947</v>
      </c>
      <c r="B131" s="355"/>
      <c r="C131" s="355" t="s">
        <v>374</v>
      </c>
      <c r="D131" s="336" t="s">
        <v>704</v>
      </c>
      <c r="E131" s="337">
        <v>1</v>
      </c>
      <c r="F131" s="334">
        <f t="shared" si="8"/>
        <v>3658585.5</v>
      </c>
      <c r="G131" s="341">
        <f>НМЦК!K137</f>
        <v>3658585.5</v>
      </c>
      <c r="H131" s="341"/>
      <c r="I131" s="362"/>
    </row>
    <row r="132" spans="1:9" s="145" customFormat="1" hidden="1" outlineLevel="2" x14ac:dyDescent="0.2">
      <c r="A132" s="354" t="s">
        <v>948</v>
      </c>
      <c r="B132" s="355"/>
      <c r="C132" s="355" t="s">
        <v>475</v>
      </c>
      <c r="D132" s="336" t="s">
        <v>704</v>
      </c>
      <c r="E132" s="337">
        <v>1</v>
      </c>
      <c r="F132" s="334">
        <f t="shared" si="8"/>
        <v>8738619.25</v>
      </c>
      <c r="G132" s="341">
        <f>НМЦК!K138</f>
        <v>8738619.25</v>
      </c>
      <c r="H132" s="341"/>
      <c r="I132" s="362"/>
    </row>
    <row r="133" spans="1:9" s="145" customFormat="1" ht="47.25" hidden="1" outlineLevel="2" x14ac:dyDescent="0.2">
      <c r="A133" s="354" t="s">
        <v>949</v>
      </c>
      <c r="B133" s="355" t="s">
        <v>334</v>
      </c>
      <c r="C133" s="355" t="s">
        <v>493</v>
      </c>
      <c r="D133" s="336" t="s">
        <v>704</v>
      </c>
      <c r="E133" s="337">
        <v>1</v>
      </c>
      <c r="F133" s="334">
        <f t="shared" si="8"/>
        <v>259336.44</v>
      </c>
      <c r="G133" s="341">
        <f>НМЦК!K139</f>
        <v>259336.44</v>
      </c>
      <c r="H133" s="341"/>
      <c r="I133" s="362"/>
    </row>
    <row r="134" spans="1:9" ht="31.5" hidden="1" outlineLevel="1" x14ac:dyDescent="0.2">
      <c r="A134" s="356" t="s">
        <v>934</v>
      </c>
      <c r="B134" s="357"/>
      <c r="C134" s="357" t="s">
        <v>806</v>
      </c>
      <c r="D134" s="358" t="s">
        <v>704</v>
      </c>
      <c r="E134" s="359">
        <v>1</v>
      </c>
      <c r="F134" s="334">
        <f t="shared" si="8"/>
        <v>825589.6</v>
      </c>
      <c r="G134" s="365">
        <f>НМЦК!K140</f>
        <v>825589.6</v>
      </c>
      <c r="H134" s="365"/>
      <c r="I134" s="360"/>
    </row>
    <row r="135" spans="1:9" s="145" customFormat="1" ht="31.5" hidden="1" outlineLevel="2" x14ac:dyDescent="0.2">
      <c r="A135" s="354" t="s">
        <v>950</v>
      </c>
      <c r="B135" s="355" t="s">
        <v>329</v>
      </c>
      <c r="C135" s="355" t="s">
        <v>806</v>
      </c>
      <c r="D135" s="336" t="s">
        <v>704</v>
      </c>
      <c r="E135" s="337">
        <v>1</v>
      </c>
      <c r="F135" s="334">
        <f t="shared" si="8"/>
        <v>825205.12</v>
      </c>
      <c r="G135" s="341">
        <f>НМЦК!K141</f>
        <v>825205.12</v>
      </c>
      <c r="H135" s="341"/>
      <c r="I135" s="362"/>
    </row>
    <row r="136" spans="1:9" s="145" customFormat="1" ht="47.25" hidden="1" outlineLevel="2" x14ac:dyDescent="0.2">
      <c r="A136" s="354" t="s">
        <v>951</v>
      </c>
      <c r="B136" s="355" t="s">
        <v>334</v>
      </c>
      <c r="C136" s="355" t="s">
        <v>497</v>
      </c>
      <c r="D136" s="336" t="s">
        <v>704</v>
      </c>
      <c r="E136" s="337">
        <v>1</v>
      </c>
      <c r="F136" s="334">
        <f t="shared" si="8"/>
        <v>384.49</v>
      </c>
      <c r="G136" s="341">
        <f>НМЦК!K142</f>
        <v>384.49</v>
      </c>
      <c r="H136" s="341"/>
      <c r="I136" s="362"/>
    </row>
    <row r="137" spans="1:9" ht="31.5" hidden="1" outlineLevel="1" x14ac:dyDescent="0.2">
      <c r="A137" s="356" t="s">
        <v>935</v>
      </c>
      <c r="B137" s="357"/>
      <c r="C137" s="357" t="s">
        <v>807</v>
      </c>
      <c r="D137" s="358" t="s">
        <v>704</v>
      </c>
      <c r="E137" s="359">
        <v>1</v>
      </c>
      <c r="F137" s="334">
        <f t="shared" si="8"/>
        <v>1663194.4</v>
      </c>
      <c r="G137" s="365">
        <f>НМЦК!K143</f>
        <v>1663194.4</v>
      </c>
      <c r="H137" s="365"/>
      <c r="I137" s="360"/>
    </row>
    <row r="138" spans="1:9" s="145" customFormat="1" ht="31.5" hidden="1" outlineLevel="2" x14ac:dyDescent="0.2">
      <c r="A138" s="354" t="s">
        <v>952</v>
      </c>
      <c r="B138" s="355" t="s">
        <v>329</v>
      </c>
      <c r="C138" s="355" t="s">
        <v>807</v>
      </c>
      <c r="D138" s="336" t="s">
        <v>704</v>
      </c>
      <c r="E138" s="337">
        <v>1</v>
      </c>
      <c r="F138" s="334">
        <f t="shared" si="8"/>
        <v>1662425.41</v>
      </c>
      <c r="G138" s="341">
        <f>НМЦК!K144</f>
        <v>1662425.41</v>
      </c>
      <c r="H138" s="341"/>
      <c r="I138" s="362"/>
    </row>
    <row r="139" spans="1:9" s="145" customFormat="1" ht="47.25" hidden="1" outlineLevel="2" x14ac:dyDescent="0.2">
      <c r="A139" s="354" t="s">
        <v>953</v>
      </c>
      <c r="B139" s="355" t="s">
        <v>334</v>
      </c>
      <c r="C139" s="355" t="s">
        <v>497</v>
      </c>
      <c r="D139" s="336" t="s">
        <v>704</v>
      </c>
      <c r="E139" s="337">
        <v>1</v>
      </c>
      <c r="F139" s="334">
        <f t="shared" si="8"/>
        <v>768.97</v>
      </c>
      <c r="G139" s="341">
        <f>НМЦК!K145</f>
        <v>768.97</v>
      </c>
      <c r="H139" s="341"/>
      <c r="I139" s="362"/>
    </row>
    <row r="140" spans="1:9" ht="31.5" hidden="1" outlineLevel="1" x14ac:dyDescent="0.2">
      <c r="A140" s="356" t="s">
        <v>936</v>
      </c>
      <c r="B140" s="357"/>
      <c r="C140" s="357" t="s">
        <v>808</v>
      </c>
      <c r="D140" s="358" t="s">
        <v>704</v>
      </c>
      <c r="E140" s="359">
        <v>1</v>
      </c>
      <c r="F140" s="334">
        <f t="shared" si="8"/>
        <v>983325.36</v>
      </c>
      <c r="G140" s="365">
        <f>НМЦК!K146</f>
        <v>983325.36</v>
      </c>
      <c r="H140" s="365"/>
      <c r="I140" s="360"/>
    </row>
    <row r="141" spans="1:9" s="145" customFormat="1" ht="31.5" hidden="1" outlineLevel="2" x14ac:dyDescent="0.2">
      <c r="A141" s="354" t="s">
        <v>954</v>
      </c>
      <c r="B141" s="355" t="s">
        <v>329</v>
      </c>
      <c r="C141" s="355" t="s">
        <v>808</v>
      </c>
      <c r="D141" s="336" t="s">
        <v>704</v>
      </c>
      <c r="E141" s="337">
        <v>1</v>
      </c>
      <c r="F141" s="334">
        <f t="shared" si="8"/>
        <v>982844.76</v>
      </c>
      <c r="G141" s="341">
        <f>НМЦК!K147</f>
        <v>982844.76</v>
      </c>
      <c r="H141" s="341"/>
      <c r="I141" s="362"/>
    </row>
    <row r="142" spans="1:9" s="145" customFormat="1" ht="47.25" hidden="1" outlineLevel="2" x14ac:dyDescent="0.2">
      <c r="A142" s="354" t="s">
        <v>955</v>
      </c>
      <c r="B142" s="355" t="s">
        <v>334</v>
      </c>
      <c r="C142" s="355" t="s">
        <v>497</v>
      </c>
      <c r="D142" s="336" t="s">
        <v>704</v>
      </c>
      <c r="E142" s="337">
        <v>1</v>
      </c>
      <c r="F142" s="334">
        <f t="shared" si="8"/>
        <v>480.6</v>
      </c>
      <c r="G142" s="341">
        <f>НМЦК!K148</f>
        <v>480.6</v>
      </c>
      <c r="H142" s="341"/>
      <c r="I142" s="362"/>
    </row>
    <row r="143" spans="1:9" ht="63" collapsed="1" x14ac:dyDescent="0.2">
      <c r="A143" s="404" t="s">
        <v>675</v>
      </c>
      <c r="B143" s="518" t="s">
        <v>1054</v>
      </c>
      <c r="C143" s="518" t="s">
        <v>1006</v>
      </c>
      <c r="D143" s="329" t="s">
        <v>704</v>
      </c>
      <c r="E143" s="330">
        <v>1</v>
      </c>
      <c r="F143" s="334">
        <f t="shared" si="8"/>
        <v>398988252.73000002</v>
      </c>
      <c r="G143" s="334">
        <f>НМЦК!K149</f>
        <v>398988252.73000002</v>
      </c>
      <c r="H143" s="334"/>
      <c r="I143" s="328"/>
    </row>
    <row r="144" spans="1:9" s="145" customFormat="1" hidden="1" outlineLevel="1" x14ac:dyDescent="0.2">
      <c r="A144" s="356" t="s">
        <v>937</v>
      </c>
      <c r="B144" s="357" t="s">
        <v>319</v>
      </c>
      <c r="C144" s="357" t="s">
        <v>320</v>
      </c>
      <c r="D144" s="358" t="s">
        <v>704</v>
      </c>
      <c r="E144" s="359">
        <v>1</v>
      </c>
      <c r="F144" s="334">
        <f t="shared" si="8"/>
        <v>8040871.5599999996</v>
      </c>
      <c r="G144" s="365">
        <f>НМЦК!K150</f>
        <v>8040871.5599999996</v>
      </c>
      <c r="H144" s="365"/>
      <c r="I144" s="360"/>
    </row>
    <row r="145" spans="1:9" s="145" customFormat="1" hidden="1" outlineLevel="1" x14ac:dyDescent="0.2">
      <c r="A145" s="354" t="s">
        <v>956</v>
      </c>
      <c r="B145" s="355"/>
      <c r="C145" s="355" t="s">
        <v>374</v>
      </c>
      <c r="D145" s="336" t="s">
        <v>704</v>
      </c>
      <c r="E145" s="337">
        <v>1</v>
      </c>
      <c r="F145" s="334">
        <f t="shared" si="8"/>
        <v>634595.68999999994</v>
      </c>
      <c r="G145" s="341">
        <f>НМЦК!K151</f>
        <v>634595.68999999994</v>
      </c>
      <c r="H145" s="341"/>
      <c r="I145" s="338"/>
    </row>
    <row r="146" spans="1:9" s="145" customFormat="1" hidden="1" outlineLevel="1" x14ac:dyDescent="0.2">
      <c r="A146" s="354" t="s">
        <v>957</v>
      </c>
      <c r="B146" s="355"/>
      <c r="C146" s="355" t="s">
        <v>472</v>
      </c>
      <c r="D146" s="336" t="s">
        <v>704</v>
      </c>
      <c r="E146" s="337">
        <v>1</v>
      </c>
      <c r="F146" s="334">
        <f t="shared" si="8"/>
        <v>7401662.0199999996</v>
      </c>
      <c r="G146" s="341">
        <f>НМЦК!K152</f>
        <v>7401662.0199999996</v>
      </c>
      <c r="H146" s="341"/>
      <c r="I146" s="338"/>
    </row>
    <row r="147" spans="1:9" s="145" customFormat="1" ht="47.25" hidden="1" outlineLevel="1" x14ac:dyDescent="0.2">
      <c r="A147" s="354" t="s">
        <v>958</v>
      </c>
      <c r="B147" s="355" t="s">
        <v>334</v>
      </c>
      <c r="C147" s="355" t="s">
        <v>492</v>
      </c>
      <c r="D147" s="336" t="s">
        <v>704</v>
      </c>
      <c r="E147" s="337">
        <v>1</v>
      </c>
      <c r="F147" s="334">
        <f t="shared" si="8"/>
        <v>4613.83</v>
      </c>
      <c r="G147" s="341">
        <f>НМЦК!K153</f>
        <v>4613.83</v>
      </c>
      <c r="H147" s="341"/>
      <c r="I147" s="338"/>
    </row>
    <row r="148" spans="1:9" s="145" customFormat="1" hidden="1" outlineLevel="1" x14ac:dyDescent="0.2">
      <c r="A148" s="356" t="s">
        <v>938</v>
      </c>
      <c r="B148" s="357" t="s">
        <v>323</v>
      </c>
      <c r="C148" s="357" t="s">
        <v>324</v>
      </c>
      <c r="D148" s="358" t="s">
        <v>704</v>
      </c>
      <c r="E148" s="359">
        <v>1</v>
      </c>
      <c r="F148" s="334">
        <f t="shared" si="8"/>
        <v>532129.92000000004</v>
      </c>
      <c r="G148" s="365">
        <f>НМЦК!K154</f>
        <v>532129.92000000004</v>
      </c>
      <c r="H148" s="365"/>
      <c r="I148" s="360"/>
    </row>
    <row r="149" spans="1:9" s="145" customFormat="1" hidden="1" outlineLevel="1" x14ac:dyDescent="0.2">
      <c r="A149" s="354" t="s">
        <v>959</v>
      </c>
      <c r="B149" s="355"/>
      <c r="C149" s="355" t="s">
        <v>374</v>
      </c>
      <c r="D149" s="336" t="s">
        <v>704</v>
      </c>
      <c r="E149" s="337">
        <v>1</v>
      </c>
      <c r="F149" s="334">
        <f t="shared" si="8"/>
        <v>176479.49</v>
      </c>
      <c r="G149" s="341">
        <f>НМЦК!K155</f>
        <v>176479.49</v>
      </c>
      <c r="H149" s="341"/>
      <c r="I149" s="338"/>
    </row>
    <row r="150" spans="1:9" s="145" customFormat="1" hidden="1" outlineLevel="1" x14ac:dyDescent="0.2">
      <c r="A150" s="354" t="s">
        <v>960</v>
      </c>
      <c r="B150" s="355"/>
      <c r="C150" s="355" t="s">
        <v>476</v>
      </c>
      <c r="D150" s="336" t="s">
        <v>704</v>
      </c>
      <c r="E150" s="337">
        <v>1</v>
      </c>
      <c r="F150" s="334">
        <f t="shared" si="8"/>
        <v>343154.6</v>
      </c>
      <c r="G150" s="341">
        <f>НМЦК!K156</f>
        <v>343154.6</v>
      </c>
      <c r="H150" s="341"/>
      <c r="I150" s="338"/>
    </row>
    <row r="151" spans="1:9" s="145" customFormat="1" ht="47.25" hidden="1" outlineLevel="1" x14ac:dyDescent="0.2">
      <c r="A151" s="354" t="s">
        <v>961</v>
      </c>
      <c r="B151" s="355" t="s">
        <v>334</v>
      </c>
      <c r="C151" s="355" t="s">
        <v>494</v>
      </c>
      <c r="D151" s="336" t="s">
        <v>704</v>
      </c>
      <c r="E151" s="337">
        <v>1</v>
      </c>
      <c r="F151" s="334">
        <f t="shared" si="8"/>
        <v>12495.83</v>
      </c>
      <c r="G151" s="341">
        <f>НМЦК!K157</f>
        <v>12495.83</v>
      </c>
      <c r="H151" s="341"/>
      <c r="I151" s="338"/>
    </row>
    <row r="152" spans="1:9" s="145" customFormat="1" hidden="1" outlineLevel="1" x14ac:dyDescent="0.2">
      <c r="A152" s="356" t="s">
        <v>939</v>
      </c>
      <c r="B152" s="357" t="s">
        <v>325</v>
      </c>
      <c r="C152" s="357" t="s">
        <v>326</v>
      </c>
      <c r="D152" s="358" t="s">
        <v>704</v>
      </c>
      <c r="E152" s="359">
        <v>1</v>
      </c>
      <c r="F152" s="334">
        <f t="shared" si="8"/>
        <v>32098796.329999998</v>
      </c>
      <c r="G152" s="365">
        <f>НМЦК!K158</f>
        <v>32098796.329999998</v>
      </c>
      <c r="H152" s="365"/>
      <c r="I152" s="360"/>
    </row>
    <row r="153" spans="1:9" s="145" customFormat="1" ht="31.5" hidden="1" outlineLevel="1" x14ac:dyDescent="0.2">
      <c r="A153" s="354" t="s">
        <v>962</v>
      </c>
      <c r="B153" s="355"/>
      <c r="C153" s="355" t="s">
        <v>477</v>
      </c>
      <c r="D153" s="336" t="s">
        <v>704</v>
      </c>
      <c r="E153" s="337">
        <v>1</v>
      </c>
      <c r="F153" s="334">
        <f t="shared" ref="F153:F171" si="9">G153/E153</f>
        <v>13362939.84</v>
      </c>
      <c r="G153" s="341">
        <f>НМЦК!K159</f>
        <v>13362939.84</v>
      </c>
      <c r="H153" s="341"/>
      <c r="I153" s="338"/>
    </row>
    <row r="154" spans="1:9" s="145" customFormat="1" ht="31.5" hidden="1" outlineLevel="1" x14ac:dyDescent="0.2">
      <c r="A154" s="354" t="s">
        <v>963</v>
      </c>
      <c r="B154" s="355"/>
      <c r="C154" s="355" t="s">
        <v>478</v>
      </c>
      <c r="D154" s="336" t="s">
        <v>704</v>
      </c>
      <c r="E154" s="337">
        <v>1</v>
      </c>
      <c r="F154" s="334">
        <f t="shared" si="9"/>
        <v>17037097.050000001</v>
      </c>
      <c r="G154" s="341">
        <f>НМЦК!K160</f>
        <v>17037097.050000001</v>
      </c>
      <c r="H154" s="341"/>
      <c r="I154" s="338"/>
    </row>
    <row r="155" spans="1:9" s="145" customFormat="1" ht="47.25" hidden="1" outlineLevel="1" x14ac:dyDescent="0.2">
      <c r="A155" s="354" t="s">
        <v>964</v>
      </c>
      <c r="B155" s="355"/>
      <c r="C155" s="355" t="s">
        <v>495</v>
      </c>
      <c r="D155" s="336" t="s">
        <v>704</v>
      </c>
      <c r="E155" s="337">
        <v>1</v>
      </c>
      <c r="F155" s="334">
        <f t="shared" si="9"/>
        <v>1698759.44</v>
      </c>
      <c r="G155" s="341">
        <f>НМЦК!K161</f>
        <v>1698759.44</v>
      </c>
      <c r="H155" s="341"/>
      <c r="I155" s="338"/>
    </row>
    <row r="156" spans="1:9" s="145" customFormat="1" hidden="1" outlineLevel="1" x14ac:dyDescent="0.2">
      <c r="A156" s="356" t="s">
        <v>965</v>
      </c>
      <c r="B156" s="357" t="s">
        <v>327</v>
      </c>
      <c r="C156" s="357" t="s">
        <v>328</v>
      </c>
      <c r="D156" s="358" t="s">
        <v>704</v>
      </c>
      <c r="E156" s="359">
        <v>1</v>
      </c>
      <c r="F156" s="334">
        <f t="shared" si="9"/>
        <v>352921430.23000002</v>
      </c>
      <c r="G156" s="365">
        <f>НМЦК!K162</f>
        <v>352921430.23000002</v>
      </c>
      <c r="H156" s="502"/>
      <c r="I156" s="360"/>
    </row>
    <row r="157" spans="1:9" s="145" customFormat="1" hidden="1" outlineLevel="1" x14ac:dyDescent="0.2">
      <c r="A157" s="354" t="s">
        <v>966</v>
      </c>
      <c r="B157" s="355"/>
      <c r="C157" s="355" t="s">
        <v>479</v>
      </c>
      <c r="D157" s="336" t="s">
        <v>704</v>
      </c>
      <c r="E157" s="337">
        <v>1</v>
      </c>
      <c r="F157" s="334">
        <f t="shared" si="9"/>
        <v>60225073.57</v>
      </c>
      <c r="G157" s="341">
        <f>НМЦК!K163</f>
        <v>60225073.57</v>
      </c>
      <c r="H157" s="341"/>
      <c r="I157" s="338"/>
    </row>
    <row r="158" spans="1:9" s="145" customFormat="1" hidden="1" outlineLevel="1" x14ac:dyDescent="0.2">
      <c r="A158" s="354" t="s">
        <v>967</v>
      </c>
      <c r="B158" s="355"/>
      <c r="C158" s="355" t="s">
        <v>480</v>
      </c>
      <c r="D158" s="336" t="s">
        <v>704</v>
      </c>
      <c r="E158" s="337">
        <v>1</v>
      </c>
      <c r="F158" s="334">
        <f t="shared" si="9"/>
        <v>37775265.439999998</v>
      </c>
      <c r="G158" s="341">
        <f>НМЦК!K164</f>
        <v>37775265.439999998</v>
      </c>
      <c r="H158" s="341"/>
      <c r="I158" s="362"/>
    </row>
    <row r="159" spans="1:9" s="145" customFormat="1" hidden="1" outlineLevel="1" x14ac:dyDescent="0.2">
      <c r="A159" s="354" t="s">
        <v>968</v>
      </c>
      <c r="B159" s="355"/>
      <c r="C159" s="355" t="s">
        <v>485</v>
      </c>
      <c r="D159" s="336" t="s">
        <v>704</v>
      </c>
      <c r="E159" s="337">
        <v>1</v>
      </c>
      <c r="F159" s="334">
        <f t="shared" si="9"/>
        <v>23112375.260000002</v>
      </c>
      <c r="G159" s="341">
        <f>НМЦК!K165</f>
        <v>23112375.260000002</v>
      </c>
      <c r="H159" s="341"/>
      <c r="I159" s="362"/>
    </row>
    <row r="160" spans="1:9" s="145" customFormat="1" hidden="1" outlineLevel="1" x14ac:dyDescent="0.2">
      <c r="A160" s="354" t="s">
        <v>969</v>
      </c>
      <c r="B160" s="355"/>
      <c r="C160" s="355" t="s">
        <v>486</v>
      </c>
      <c r="D160" s="336" t="s">
        <v>704</v>
      </c>
      <c r="E160" s="337">
        <v>1</v>
      </c>
      <c r="F160" s="334">
        <f t="shared" si="9"/>
        <v>26380514.27</v>
      </c>
      <c r="G160" s="341">
        <f>НМЦК!K166</f>
        <v>26380514.27</v>
      </c>
      <c r="H160" s="341"/>
      <c r="I160" s="362"/>
    </row>
    <row r="161" spans="1:9" s="145" customFormat="1" hidden="1" outlineLevel="1" x14ac:dyDescent="0.2">
      <c r="A161" s="354" t="s">
        <v>970</v>
      </c>
      <c r="B161" s="355"/>
      <c r="C161" s="355" t="s">
        <v>484</v>
      </c>
      <c r="D161" s="336" t="s">
        <v>704</v>
      </c>
      <c r="E161" s="337">
        <v>1</v>
      </c>
      <c r="F161" s="334">
        <f t="shared" si="9"/>
        <v>45574390.840000004</v>
      </c>
      <c r="G161" s="341">
        <f>НМЦК!K167</f>
        <v>45574390.840000004</v>
      </c>
      <c r="H161" s="341"/>
      <c r="I161" s="362"/>
    </row>
    <row r="162" spans="1:9" s="145" customFormat="1" hidden="1" outlineLevel="1" x14ac:dyDescent="0.2">
      <c r="A162" s="354" t="s">
        <v>971</v>
      </c>
      <c r="B162" s="355"/>
      <c r="C162" s="355" t="s">
        <v>481</v>
      </c>
      <c r="D162" s="336" t="s">
        <v>704</v>
      </c>
      <c r="E162" s="337">
        <v>1</v>
      </c>
      <c r="F162" s="334">
        <f t="shared" si="9"/>
        <v>31901458.41</v>
      </c>
      <c r="G162" s="341">
        <f>НМЦК!K168</f>
        <v>31901458.41</v>
      </c>
      <c r="H162" s="341"/>
      <c r="I162" s="362"/>
    </row>
    <row r="163" spans="1:9" s="145" customFormat="1" hidden="1" outlineLevel="1" x14ac:dyDescent="0.2">
      <c r="A163" s="354" t="s">
        <v>972</v>
      </c>
      <c r="B163" s="355"/>
      <c r="C163" s="355" t="s">
        <v>482</v>
      </c>
      <c r="D163" s="336" t="s">
        <v>704</v>
      </c>
      <c r="E163" s="337">
        <v>1</v>
      </c>
      <c r="F163" s="334">
        <f t="shared" si="9"/>
        <v>38904022.979999997</v>
      </c>
      <c r="G163" s="341">
        <f>НМЦК!K169</f>
        <v>38904022.979999997</v>
      </c>
      <c r="H163" s="341"/>
      <c r="I163" s="362"/>
    </row>
    <row r="164" spans="1:9" s="145" customFormat="1" hidden="1" outlineLevel="1" x14ac:dyDescent="0.2">
      <c r="A164" s="354" t="s">
        <v>973</v>
      </c>
      <c r="B164" s="355"/>
      <c r="C164" s="355" t="s">
        <v>483</v>
      </c>
      <c r="D164" s="336" t="s">
        <v>704</v>
      </c>
      <c r="E164" s="337">
        <v>1</v>
      </c>
      <c r="F164" s="334">
        <f t="shared" si="9"/>
        <v>40183883.880000003</v>
      </c>
      <c r="G164" s="341">
        <f>НМЦК!K170</f>
        <v>40183883.880000003</v>
      </c>
      <c r="H164" s="341"/>
      <c r="I164" s="362"/>
    </row>
    <row r="165" spans="1:9" s="145" customFormat="1" hidden="1" outlineLevel="1" x14ac:dyDescent="0.2">
      <c r="A165" s="354" t="s">
        <v>974</v>
      </c>
      <c r="B165" s="355"/>
      <c r="C165" s="355" t="s">
        <v>487</v>
      </c>
      <c r="D165" s="336" t="s">
        <v>704</v>
      </c>
      <c r="E165" s="337">
        <v>1</v>
      </c>
      <c r="F165" s="334">
        <f t="shared" si="9"/>
        <v>47115991.240000002</v>
      </c>
      <c r="G165" s="341">
        <f>НМЦК!K171</f>
        <v>47115991.240000002</v>
      </c>
      <c r="H165" s="341"/>
      <c r="I165" s="362"/>
    </row>
    <row r="166" spans="1:9" s="145" customFormat="1" ht="47.25" hidden="1" outlineLevel="1" x14ac:dyDescent="0.2">
      <c r="A166" s="354" t="s">
        <v>975</v>
      </c>
      <c r="B166" s="355" t="s">
        <v>334</v>
      </c>
      <c r="C166" s="355" t="s">
        <v>496</v>
      </c>
      <c r="D166" s="336" t="s">
        <v>704</v>
      </c>
      <c r="E166" s="337">
        <v>1</v>
      </c>
      <c r="F166" s="334">
        <f t="shared" si="9"/>
        <v>1748454.37</v>
      </c>
      <c r="G166" s="341">
        <f>НМЦК!K172</f>
        <v>1748454.37</v>
      </c>
      <c r="H166" s="341"/>
      <c r="I166" s="362"/>
    </row>
    <row r="167" spans="1:9" s="145" customFormat="1" ht="31.5" hidden="1" outlineLevel="1" x14ac:dyDescent="0.2">
      <c r="A167" s="356" t="s">
        <v>976</v>
      </c>
      <c r="B167" s="357"/>
      <c r="C167" s="357" t="s">
        <v>809</v>
      </c>
      <c r="D167" s="358" t="s">
        <v>704</v>
      </c>
      <c r="E167" s="359">
        <v>1</v>
      </c>
      <c r="F167" s="334">
        <f t="shared" si="9"/>
        <v>5395024.6600000001</v>
      </c>
      <c r="G167" s="365">
        <f>НМЦК!K173</f>
        <v>5395024.6600000001</v>
      </c>
      <c r="H167" s="365"/>
      <c r="I167" s="360"/>
    </row>
    <row r="168" spans="1:9" s="145" customFormat="1" ht="31.5" hidden="1" outlineLevel="1" x14ac:dyDescent="0.2">
      <c r="A168" s="354" t="s">
        <v>977</v>
      </c>
      <c r="B168" s="355" t="s">
        <v>329</v>
      </c>
      <c r="C168" s="355" t="s">
        <v>809</v>
      </c>
      <c r="D168" s="336" t="s">
        <v>704</v>
      </c>
      <c r="E168" s="337">
        <v>1</v>
      </c>
      <c r="F168" s="334">
        <f t="shared" si="9"/>
        <v>5392429.3799999999</v>
      </c>
      <c r="G168" s="341">
        <f>НМЦК!K174</f>
        <v>5392429.3799999999</v>
      </c>
      <c r="H168" s="341"/>
      <c r="I168" s="362"/>
    </row>
    <row r="169" spans="1:9" s="145" customFormat="1" ht="47.25" hidden="1" outlineLevel="1" x14ac:dyDescent="0.2">
      <c r="A169" s="354" t="s">
        <v>978</v>
      </c>
      <c r="B169" s="355" t="s">
        <v>334</v>
      </c>
      <c r="C169" s="355" t="s">
        <v>497</v>
      </c>
      <c r="D169" s="336" t="s">
        <v>704</v>
      </c>
      <c r="E169" s="337">
        <v>1</v>
      </c>
      <c r="F169" s="334">
        <f t="shared" si="9"/>
        <v>2595.29</v>
      </c>
      <c r="G169" s="341">
        <f>НМЦК!K175</f>
        <v>2595.29</v>
      </c>
      <c r="H169" s="341"/>
      <c r="I169" s="362"/>
    </row>
    <row r="170" spans="1:9" ht="63" collapsed="1" x14ac:dyDescent="0.2">
      <c r="A170" s="404" t="s">
        <v>676</v>
      </c>
      <c r="B170" s="518" t="s">
        <v>1055</v>
      </c>
      <c r="C170" s="518" t="s">
        <v>1007</v>
      </c>
      <c r="D170" s="329" t="s">
        <v>704</v>
      </c>
      <c r="E170" s="330">
        <v>1</v>
      </c>
      <c r="F170" s="334">
        <f t="shared" si="9"/>
        <v>74305562.159999996</v>
      </c>
      <c r="G170" s="334">
        <f>НМЦК!K176</f>
        <v>74305562.159999996</v>
      </c>
      <c r="H170" s="334"/>
      <c r="I170" s="328"/>
    </row>
    <row r="171" spans="1:9" s="145" customFormat="1" ht="31.5" hidden="1" outlineLevel="1" x14ac:dyDescent="0.2">
      <c r="A171" s="357" t="s">
        <v>979</v>
      </c>
      <c r="B171" s="357"/>
      <c r="C171" s="357" t="s">
        <v>810</v>
      </c>
      <c r="D171" s="358" t="s">
        <v>704</v>
      </c>
      <c r="E171" s="359">
        <v>1</v>
      </c>
      <c r="F171" s="365">
        <f t="shared" si="9"/>
        <v>4829156</v>
      </c>
      <c r="G171" s="365">
        <f>НМЦК!K177</f>
        <v>4829156</v>
      </c>
      <c r="H171" s="365"/>
      <c r="I171" s="360"/>
    </row>
    <row r="172" spans="1:9" s="145" customFormat="1" ht="31.5" hidden="1" outlineLevel="1" x14ac:dyDescent="0.2">
      <c r="A172" s="355" t="s">
        <v>980</v>
      </c>
      <c r="B172" s="355" t="s">
        <v>329</v>
      </c>
      <c r="C172" s="355" t="s">
        <v>810</v>
      </c>
      <c r="D172" s="366" t="s">
        <v>704</v>
      </c>
      <c r="E172" s="367">
        <v>1</v>
      </c>
      <c r="F172" s="341">
        <f t="shared" ref="F172:F235" si="10">G172/E172</f>
        <v>4826849.07</v>
      </c>
      <c r="G172" s="341">
        <f>НМЦК!K178</f>
        <v>4826849.07</v>
      </c>
      <c r="H172" s="341"/>
      <c r="I172" s="338"/>
    </row>
    <row r="173" spans="1:9" s="145" customFormat="1" ht="47.25" hidden="1" outlineLevel="1" x14ac:dyDescent="0.2">
      <c r="A173" s="355" t="s">
        <v>981</v>
      </c>
      <c r="B173" s="355" t="s">
        <v>334</v>
      </c>
      <c r="C173" s="355" t="s">
        <v>497</v>
      </c>
      <c r="D173" s="366" t="s">
        <v>704</v>
      </c>
      <c r="E173" s="367">
        <v>1</v>
      </c>
      <c r="F173" s="341">
        <f t="shared" si="10"/>
        <v>2306.92</v>
      </c>
      <c r="G173" s="341">
        <f>НМЦК!K179</f>
        <v>2306.92</v>
      </c>
      <c r="H173" s="341"/>
      <c r="I173" s="338"/>
    </row>
    <row r="174" spans="1:9" s="145" customFormat="1" hidden="1" outlineLevel="1" x14ac:dyDescent="0.2">
      <c r="A174" s="357" t="s">
        <v>982</v>
      </c>
      <c r="B174" s="357" t="s">
        <v>330</v>
      </c>
      <c r="C174" s="357" t="s">
        <v>324</v>
      </c>
      <c r="D174" s="358" t="s">
        <v>704</v>
      </c>
      <c r="E174" s="359">
        <v>1</v>
      </c>
      <c r="F174" s="365">
        <f t="shared" si="10"/>
        <v>2091801.21</v>
      </c>
      <c r="G174" s="365">
        <f>НМЦК!K180</f>
        <v>2091801.21</v>
      </c>
      <c r="H174" s="365"/>
      <c r="I174" s="360"/>
    </row>
    <row r="175" spans="1:9" s="145" customFormat="1" hidden="1" outlineLevel="1" x14ac:dyDescent="0.2">
      <c r="A175" s="355" t="s">
        <v>983</v>
      </c>
      <c r="B175" s="355"/>
      <c r="C175" s="355" t="s">
        <v>374</v>
      </c>
      <c r="D175" s="336" t="s">
        <v>704</v>
      </c>
      <c r="E175" s="337">
        <v>1</v>
      </c>
      <c r="F175" s="341">
        <f t="shared" si="10"/>
        <v>1184412.02</v>
      </c>
      <c r="G175" s="341">
        <f>НМЦК!K181</f>
        <v>1184412.02</v>
      </c>
      <c r="H175" s="341"/>
      <c r="I175" s="338"/>
    </row>
    <row r="176" spans="1:9" s="145" customFormat="1" hidden="1" outlineLevel="1" x14ac:dyDescent="0.2">
      <c r="A176" s="355" t="s">
        <v>984</v>
      </c>
      <c r="B176" s="355"/>
      <c r="C176" s="355" t="s">
        <v>476</v>
      </c>
      <c r="D176" s="336" t="s">
        <v>704</v>
      </c>
      <c r="E176" s="337">
        <v>1</v>
      </c>
      <c r="F176" s="341">
        <f t="shared" si="10"/>
        <v>844525.57</v>
      </c>
      <c r="G176" s="341">
        <f>НМЦК!K182</f>
        <v>844525.57</v>
      </c>
      <c r="H176" s="341"/>
      <c r="I176" s="338"/>
    </row>
    <row r="177" spans="1:9" s="145" customFormat="1" ht="47.25" hidden="1" outlineLevel="1" x14ac:dyDescent="0.2">
      <c r="A177" s="355" t="s">
        <v>985</v>
      </c>
      <c r="B177" s="355" t="s">
        <v>334</v>
      </c>
      <c r="C177" s="355" t="s">
        <v>498</v>
      </c>
      <c r="D177" s="336" t="s">
        <v>704</v>
      </c>
      <c r="E177" s="337">
        <v>1</v>
      </c>
      <c r="F177" s="341">
        <f t="shared" si="10"/>
        <v>62863.62</v>
      </c>
      <c r="G177" s="341">
        <f>НМЦК!K183</f>
        <v>62863.62</v>
      </c>
      <c r="H177" s="341"/>
      <c r="I177" s="338"/>
    </row>
    <row r="178" spans="1:9" s="145" customFormat="1" hidden="1" outlineLevel="1" x14ac:dyDescent="0.2">
      <c r="A178" s="357" t="s">
        <v>986</v>
      </c>
      <c r="B178" s="357" t="s">
        <v>331</v>
      </c>
      <c r="C178" s="357" t="s">
        <v>332</v>
      </c>
      <c r="D178" s="358" t="s">
        <v>704</v>
      </c>
      <c r="E178" s="359">
        <v>1</v>
      </c>
      <c r="F178" s="365">
        <f t="shared" si="10"/>
        <v>47046687.460000001</v>
      </c>
      <c r="G178" s="365">
        <f>НМЦК!K184</f>
        <v>47046687.460000001</v>
      </c>
      <c r="H178" s="365"/>
      <c r="I178" s="360"/>
    </row>
    <row r="179" spans="1:9" s="145" customFormat="1" ht="31.5" hidden="1" outlineLevel="1" x14ac:dyDescent="0.2">
      <c r="A179" s="355" t="s">
        <v>987</v>
      </c>
      <c r="B179" s="355"/>
      <c r="C179" s="355" t="s">
        <v>488</v>
      </c>
      <c r="D179" s="336" t="s">
        <v>704</v>
      </c>
      <c r="E179" s="337">
        <v>1</v>
      </c>
      <c r="F179" s="341">
        <f t="shared" si="10"/>
        <v>10224565.140000001</v>
      </c>
      <c r="G179" s="341">
        <f>НМЦК!K185</f>
        <v>10224565.140000001</v>
      </c>
      <c r="H179" s="341"/>
      <c r="I179" s="338"/>
    </row>
    <row r="180" spans="1:9" s="145" customFormat="1" ht="31.5" hidden="1" outlineLevel="1" x14ac:dyDescent="0.2">
      <c r="A180" s="355" t="s">
        <v>988</v>
      </c>
      <c r="B180" s="355"/>
      <c r="C180" s="355" t="s">
        <v>489</v>
      </c>
      <c r="D180" s="336" t="s">
        <v>704</v>
      </c>
      <c r="E180" s="337">
        <v>1</v>
      </c>
      <c r="F180" s="341">
        <f t="shared" si="10"/>
        <v>18697792.300000001</v>
      </c>
      <c r="G180" s="341">
        <f>НМЦК!K186</f>
        <v>18697792.300000001</v>
      </c>
      <c r="H180" s="341"/>
      <c r="I180" s="338"/>
    </row>
    <row r="181" spans="1:9" s="145" customFormat="1" ht="31.5" hidden="1" outlineLevel="1" x14ac:dyDescent="0.2">
      <c r="A181" s="355" t="s">
        <v>989</v>
      </c>
      <c r="B181" s="355"/>
      <c r="C181" s="355" t="s">
        <v>490</v>
      </c>
      <c r="D181" s="336" t="s">
        <v>704</v>
      </c>
      <c r="E181" s="337">
        <v>1</v>
      </c>
      <c r="F181" s="341">
        <f t="shared" si="10"/>
        <v>15571432.83</v>
      </c>
      <c r="G181" s="341">
        <f>НМЦК!K187</f>
        <v>15571432.83</v>
      </c>
      <c r="H181" s="341"/>
      <c r="I181" s="338"/>
    </row>
    <row r="182" spans="1:9" s="145" customFormat="1" ht="47.25" hidden="1" outlineLevel="1" x14ac:dyDescent="0.2">
      <c r="A182" s="355" t="s">
        <v>990</v>
      </c>
      <c r="B182" s="355"/>
      <c r="C182" s="355" t="s">
        <v>499</v>
      </c>
      <c r="D182" s="336" t="s">
        <v>704</v>
      </c>
      <c r="E182" s="337">
        <v>1</v>
      </c>
      <c r="F182" s="341">
        <f t="shared" si="10"/>
        <v>2552897.19</v>
      </c>
      <c r="G182" s="341">
        <f>НМЦК!K188</f>
        <v>2552897.19</v>
      </c>
      <c r="H182" s="341"/>
      <c r="I182" s="338"/>
    </row>
    <row r="183" spans="1:9" s="145" customFormat="1" ht="31.5" hidden="1" outlineLevel="1" x14ac:dyDescent="0.2">
      <c r="A183" s="357" t="s">
        <v>991</v>
      </c>
      <c r="B183" s="357"/>
      <c r="C183" s="357" t="s">
        <v>862</v>
      </c>
      <c r="D183" s="358" t="s">
        <v>704</v>
      </c>
      <c r="E183" s="359">
        <v>1</v>
      </c>
      <c r="F183" s="365">
        <f t="shared" si="10"/>
        <v>20337917.48</v>
      </c>
      <c r="G183" s="365">
        <f>НМЦК!K189</f>
        <v>20337917.48</v>
      </c>
      <c r="H183" s="365"/>
      <c r="I183" s="360"/>
    </row>
    <row r="184" spans="1:9" s="145" customFormat="1" ht="31.5" hidden="1" outlineLevel="1" x14ac:dyDescent="0.2">
      <c r="A184" s="355" t="s">
        <v>992</v>
      </c>
      <c r="B184" s="355" t="s">
        <v>333</v>
      </c>
      <c r="C184" s="355" t="s">
        <v>862</v>
      </c>
      <c r="D184" s="366" t="s">
        <v>704</v>
      </c>
      <c r="E184" s="367">
        <v>1</v>
      </c>
      <c r="F184" s="370">
        <f t="shared" si="10"/>
        <v>20234298.239999998</v>
      </c>
      <c r="G184" s="341">
        <f>НМЦК!K190</f>
        <v>20234298.239999998</v>
      </c>
      <c r="H184" s="370"/>
      <c r="I184" s="373"/>
    </row>
    <row r="185" spans="1:9" s="145" customFormat="1" ht="47.25" hidden="1" outlineLevel="1" x14ac:dyDescent="0.2">
      <c r="A185" s="355" t="s">
        <v>993</v>
      </c>
      <c r="B185" s="355" t="s">
        <v>334</v>
      </c>
      <c r="C185" s="355" t="s">
        <v>500</v>
      </c>
      <c r="D185" s="366" t="s">
        <v>704</v>
      </c>
      <c r="E185" s="367">
        <v>1</v>
      </c>
      <c r="F185" s="370">
        <f t="shared" si="10"/>
        <v>103619.23</v>
      </c>
      <c r="G185" s="341">
        <f>НМЦК!K191</f>
        <v>103619.23</v>
      </c>
      <c r="H185" s="370"/>
      <c r="I185" s="373"/>
    </row>
    <row r="186" spans="1:9" s="145" customFormat="1" collapsed="1" x14ac:dyDescent="0.2">
      <c r="A186" s="134" t="s">
        <v>677</v>
      </c>
      <c r="B186" s="347" t="s">
        <v>41</v>
      </c>
      <c r="C186" s="133" t="s">
        <v>42</v>
      </c>
      <c r="D186" s="319" t="s">
        <v>704</v>
      </c>
      <c r="E186" s="320">
        <v>1</v>
      </c>
      <c r="F186" s="181">
        <f t="shared" si="10"/>
        <v>55195575.420000002</v>
      </c>
      <c r="G186" s="181">
        <f>НМЦК!K192</f>
        <v>55195575.420000002</v>
      </c>
      <c r="H186" s="181">
        <f>I186</f>
        <v>15349463.310000001</v>
      </c>
      <c r="I186" s="181">
        <f>НМЦК!L192</f>
        <v>15349463.310000001</v>
      </c>
    </row>
    <row r="187" spans="1:9" ht="31.5" hidden="1" outlineLevel="1" x14ac:dyDescent="0.2">
      <c r="A187" s="326" t="s">
        <v>1115</v>
      </c>
      <c r="B187" s="346"/>
      <c r="C187" s="327" t="s">
        <v>505</v>
      </c>
      <c r="D187" s="329" t="s">
        <v>704</v>
      </c>
      <c r="E187" s="330">
        <v>1</v>
      </c>
      <c r="F187" s="334">
        <f t="shared" si="10"/>
        <v>219061.42</v>
      </c>
      <c r="G187" s="334">
        <f>НМЦК!K193</f>
        <v>219061.42</v>
      </c>
      <c r="H187" s="334"/>
      <c r="I187" s="334"/>
    </row>
    <row r="188" spans="1:9" ht="31.5" hidden="1" outlineLevel="1" x14ac:dyDescent="0.2">
      <c r="A188" s="326" t="s">
        <v>1118</v>
      </c>
      <c r="B188" s="346"/>
      <c r="C188" s="327" t="s">
        <v>506</v>
      </c>
      <c r="D188" s="329" t="s">
        <v>704</v>
      </c>
      <c r="E188" s="330">
        <v>1</v>
      </c>
      <c r="F188" s="334">
        <f t="shared" si="10"/>
        <v>52963.08</v>
      </c>
      <c r="G188" s="334">
        <f>НМЦК!K194</f>
        <v>52963.08</v>
      </c>
      <c r="H188" s="334"/>
      <c r="I188" s="334"/>
    </row>
    <row r="189" spans="1:9" ht="31.5" hidden="1" outlineLevel="1" x14ac:dyDescent="0.2">
      <c r="A189" s="326" t="s">
        <v>1119</v>
      </c>
      <c r="B189" s="346"/>
      <c r="C189" s="327" t="s">
        <v>507</v>
      </c>
      <c r="D189" s="329" t="s">
        <v>704</v>
      </c>
      <c r="E189" s="330">
        <v>1</v>
      </c>
      <c r="F189" s="334">
        <f t="shared" si="10"/>
        <v>16808519.57</v>
      </c>
      <c r="G189" s="334">
        <f>НМЦК!K195</f>
        <v>16808519.57</v>
      </c>
      <c r="H189" s="334"/>
      <c r="I189" s="334"/>
    </row>
    <row r="190" spans="1:9" ht="32.25" hidden="1" customHeight="1" outlineLevel="1" x14ac:dyDescent="0.2">
      <c r="A190" s="326" t="s">
        <v>1120</v>
      </c>
      <c r="B190" s="346"/>
      <c r="C190" s="327" t="s">
        <v>508</v>
      </c>
      <c r="D190" s="329" t="s">
        <v>704</v>
      </c>
      <c r="E190" s="330">
        <v>1</v>
      </c>
      <c r="F190" s="334">
        <f t="shared" si="10"/>
        <v>3761243.52</v>
      </c>
      <c r="G190" s="334">
        <f>НМЦК!K196</f>
        <v>3761243.52</v>
      </c>
      <c r="H190" s="334"/>
      <c r="I190" s="334"/>
    </row>
    <row r="191" spans="1:9" ht="21.75" hidden="1" customHeight="1" outlineLevel="1" x14ac:dyDescent="0.2">
      <c r="A191" s="326" t="s">
        <v>1121</v>
      </c>
      <c r="B191" s="346"/>
      <c r="C191" s="327" t="s">
        <v>512</v>
      </c>
      <c r="D191" s="329" t="s">
        <v>704</v>
      </c>
      <c r="E191" s="330">
        <v>1</v>
      </c>
      <c r="F191" s="334">
        <f t="shared" si="10"/>
        <v>11212504.35</v>
      </c>
      <c r="G191" s="334">
        <f>НМЦК!K197</f>
        <v>11212504.35</v>
      </c>
      <c r="H191" s="334"/>
      <c r="I191" s="334"/>
    </row>
    <row r="192" spans="1:9" ht="26.25" hidden="1" customHeight="1" outlineLevel="1" x14ac:dyDescent="0.2">
      <c r="A192" s="326" t="s">
        <v>1122</v>
      </c>
      <c r="B192" s="346"/>
      <c r="C192" s="327" t="s">
        <v>513</v>
      </c>
      <c r="D192" s="329" t="s">
        <v>704</v>
      </c>
      <c r="E192" s="330">
        <v>1</v>
      </c>
      <c r="F192" s="334">
        <f t="shared" si="10"/>
        <v>3121457.26</v>
      </c>
      <c r="G192" s="334">
        <f>НМЦК!K198</f>
        <v>3121457.26</v>
      </c>
      <c r="H192" s="334"/>
      <c r="I192" s="334"/>
    </row>
    <row r="193" spans="1:9" ht="24" hidden="1" customHeight="1" outlineLevel="1" x14ac:dyDescent="0.2">
      <c r="A193" s="326" t="s">
        <v>1123</v>
      </c>
      <c r="B193" s="346"/>
      <c r="C193" s="327" t="s">
        <v>514</v>
      </c>
      <c r="D193" s="329" t="s">
        <v>704</v>
      </c>
      <c r="E193" s="330">
        <v>1</v>
      </c>
      <c r="F193" s="334">
        <f t="shared" si="10"/>
        <v>20019826.219999999</v>
      </c>
      <c r="G193" s="334">
        <f>НМЦК!K199</f>
        <v>20019826.219999999</v>
      </c>
      <c r="H193" s="334">
        <f>I193</f>
        <v>15349463.32</v>
      </c>
      <c r="I193" s="334">
        <f>НМЦК!L199</f>
        <v>15349463.32</v>
      </c>
    </row>
    <row r="194" spans="1:9" s="142" customFormat="1" ht="19.5" customHeight="1" collapsed="1" x14ac:dyDescent="0.2">
      <c r="A194" s="134" t="s">
        <v>678</v>
      </c>
      <c r="B194" s="347" t="s">
        <v>43</v>
      </c>
      <c r="C194" s="133" t="s">
        <v>44</v>
      </c>
      <c r="D194" s="319" t="s">
        <v>704</v>
      </c>
      <c r="E194" s="320">
        <v>1</v>
      </c>
      <c r="F194" s="181">
        <f t="shared" si="10"/>
        <v>16826205.969999999</v>
      </c>
      <c r="G194" s="181">
        <f>НМЦК!K200</f>
        <v>16826205.969999999</v>
      </c>
      <c r="H194" s="181"/>
      <c r="I194" s="181"/>
    </row>
    <row r="195" spans="1:9" ht="23.25" hidden="1" customHeight="1" outlineLevel="1" x14ac:dyDescent="0.2">
      <c r="A195" s="326" t="s">
        <v>1124</v>
      </c>
      <c r="B195" s="346"/>
      <c r="C195" s="327" t="s">
        <v>515</v>
      </c>
      <c r="D195" s="329" t="s">
        <v>704</v>
      </c>
      <c r="E195" s="330">
        <v>1</v>
      </c>
      <c r="F195" s="334">
        <f t="shared" si="10"/>
        <v>1965881.76</v>
      </c>
      <c r="G195" s="334">
        <f>НМЦК!K201</f>
        <v>1965881.76</v>
      </c>
      <c r="H195" s="334"/>
      <c r="I195" s="334"/>
    </row>
    <row r="196" spans="1:9" ht="33" hidden="1" customHeight="1" outlineLevel="1" x14ac:dyDescent="0.2">
      <c r="A196" s="326" t="s">
        <v>1125</v>
      </c>
      <c r="B196" s="346"/>
      <c r="C196" s="327" t="s">
        <v>517</v>
      </c>
      <c r="D196" s="329" t="s">
        <v>704</v>
      </c>
      <c r="E196" s="330">
        <v>1</v>
      </c>
      <c r="F196" s="334">
        <f t="shared" si="10"/>
        <v>1069834.9099999999</v>
      </c>
      <c r="G196" s="334">
        <f>НМЦК!K202</f>
        <v>1069834.9099999999</v>
      </c>
      <c r="H196" s="334"/>
      <c r="I196" s="334"/>
    </row>
    <row r="197" spans="1:9" ht="24.75" hidden="1" customHeight="1" outlineLevel="1" x14ac:dyDescent="0.2">
      <c r="A197" s="326" t="s">
        <v>1126</v>
      </c>
      <c r="B197" s="346"/>
      <c r="C197" s="327" t="s">
        <v>522</v>
      </c>
      <c r="D197" s="329" t="s">
        <v>704</v>
      </c>
      <c r="E197" s="330">
        <v>1</v>
      </c>
      <c r="F197" s="334">
        <f t="shared" si="10"/>
        <v>5317358.3099999996</v>
      </c>
      <c r="G197" s="334">
        <f>НМЦК!K203</f>
        <v>5317358.3099999996</v>
      </c>
      <c r="H197" s="334"/>
      <c r="I197" s="334"/>
    </row>
    <row r="198" spans="1:9" ht="21.75" hidden="1" customHeight="1" outlineLevel="1" x14ac:dyDescent="0.2">
      <c r="A198" s="326" t="s">
        <v>1127</v>
      </c>
      <c r="B198" s="346"/>
      <c r="C198" s="327" t="s">
        <v>523</v>
      </c>
      <c r="D198" s="329" t="s">
        <v>704</v>
      </c>
      <c r="E198" s="330">
        <v>1</v>
      </c>
      <c r="F198" s="334">
        <f t="shared" si="10"/>
        <v>2511180.35</v>
      </c>
      <c r="G198" s="334">
        <f>НМЦК!K204</f>
        <v>2511180.35</v>
      </c>
      <c r="H198" s="334"/>
      <c r="I198" s="334"/>
    </row>
    <row r="199" spans="1:9" ht="36.75" hidden="1" customHeight="1" outlineLevel="1" x14ac:dyDescent="0.2">
      <c r="A199" s="326" t="s">
        <v>1128</v>
      </c>
      <c r="B199" s="346"/>
      <c r="C199" s="327" t="s">
        <v>524</v>
      </c>
      <c r="D199" s="329" t="s">
        <v>704</v>
      </c>
      <c r="E199" s="330">
        <v>1</v>
      </c>
      <c r="F199" s="334">
        <f t="shared" si="10"/>
        <v>551450.41</v>
      </c>
      <c r="G199" s="334">
        <f>НМЦК!K205</f>
        <v>551450.41</v>
      </c>
      <c r="H199" s="334"/>
      <c r="I199" s="334"/>
    </row>
    <row r="200" spans="1:9" ht="26.25" hidden="1" customHeight="1" outlineLevel="1" x14ac:dyDescent="0.2">
      <c r="A200" s="326" t="s">
        <v>1129</v>
      </c>
      <c r="B200" s="346"/>
      <c r="C200" s="327" t="s">
        <v>527</v>
      </c>
      <c r="D200" s="329" t="s">
        <v>704</v>
      </c>
      <c r="E200" s="330">
        <v>1</v>
      </c>
      <c r="F200" s="334">
        <f t="shared" si="10"/>
        <v>717933.24</v>
      </c>
      <c r="G200" s="334">
        <f>НМЦК!K206</f>
        <v>717933.24</v>
      </c>
      <c r="H200" s="334"/>
      <c r="I200" s="334"/>
    </row>
    <row r="201" spans="1:9" ht="26.25" hidden="1" customHeight="1" outlineLevel="1" x14ac:dyDescent="0.2">
      <c r="A201" s="326" t="s">
        <v>1130</v>
      </c>
      <c r="B201" s="346"/>
      <c r="C201" s="327" t="s">
        <v>528</v>
      </c>
      <c r="D201" s="329" t="s">
        <v>704</v>
      </c>
      <c r="E201" s="330">
        <v>1</v>
      </c>
      <c r="F201" s="334">
        <f t="shared" si="10"/>
        <v>351901.67</v>
      </c>
      <c r="G201" s="334">
        <f>НМЦК!K207</f>
        <v>351901.67</v>
      </c>
      <c r="H201" s="334"/>
      <c r="I201" s="334"/>
    </row>
    <row r="202" spans="1:9" ht="33" hidden="1" customHeight="1" outlineLevel="1" x14ac:dyDescent="0.2">
      <c r="A202" s="326" t="s">
        <v>1131</v>
      </c>
      <c r="B202" s="346"/>
      <c r="C202" s="327" t="s">
        <v>529</v>
      </c>
      <c r="D202" s="329" t="s">
        <v>704</v>
      </c>
      <c r="E202" s="330">
        <v>1</v>
      </c>
      <c r="F202" s="334">
        <f t="shared" si="10"/>
        <v>4039900.43</v>
      </c>
      <c r="G202" s="334">
        <f>НМЦК!K208</f>
        <v>4039900.43</v>
      </c>
      <c r="H202" s="334"/>
      <c r="I202" s="334"/>
    </row>
    <row r="203" spans="1:9" ht="26.25" hidden="1" customHeight="1" outlineLevel="1" x14ac:dyDescent="0.2">
      <c r="A203" s="326" t="s">
        <v>1132</v>
      </c>
      <c r="B203" s="346"/>
      <c r="C203" s="327" t="s">
        <v>532</v>
      </c>
      <c r="D203" s="329" t="s">
        <v>704</v>
      </c>
      <c r="E203" s="330">
        <v>1</v>
      </c>
      <c r="F203" s="334">
        <f t="shared" si="10"/>
        <v>300764.90999999997</v>
      </c>
      <c r="G203" s="334">
        <f>НМЦК!K209</f>
        <v>300764.90999999997</v>
      </c>
      <c r="H203" s="334"/>
      <c r="I203" s="334"/>
    </row>
    <row r="204" spans="1:9" s="142" customFormat="1" ht="19.5" customHeight="1" collapsed="1" x14ac:dyDescent="0.2">
      <c r="A204" s="134" t="s">
        <v>679</v>
      </c>
      <c r="B204" s="347" t="s">
        <v>45</v>
      </c>
      <c r="C204" s="133" t="s">
        <v>46</v>
      </c>
      <c r="D204" s="319" t="s">
        <v>704</v>
      </c>
      <c r="E204" s="320">
        <v>1</v>
      </c>
      <c r="F204" s="181">
        <f t="shared" si="10"/>
        <v>11100810.890000001</v>
      </c>
      <c r="G204" s="181">
        <f>НМЦК!K210</f>
        <v>11100810.890000001</v>
      </c>
      <c r="H204" s="181"/>
      <c r="I204" s="181"/>
    </row>
    <row r="205" spans="1:9" ht="24" hidden="1" customHeight="1" outlineLevel="1" x14ac:dyDescent="0.2">
      <c r="A205" s="326" t="s">
        <v>1133</v>
      </c>
      <c r="B205" s="346"/>
      <c r="C205" s="327" t="s">
        <v>515</v>
      </c>
      <c r="D205" s="329" t="s">
        <v>704</v>
      </c>
      <c r="E205" s="330">
        <v>1</v>
      </c>
      <c r="F205" s="334">
        <f t="shared" si="10"/>
        <v>2823287.64</v>
      </c>
      <c r="G205" s="334">
        <f>НМЦК!K211</f>
        <v>2823287.64</v>
      </c>
      <c r="H205" s="502"/>
      <c r="I205" s="334"/>
    </row>
    <row r="206" spans="1:9" ht="35.25" hidden="1" customHeight="1" outlineLevel="1" x14ac:dyDescent="0.2">
      <c r="A206" s="326" t="s">
        <v>1134</v>
      </c>
      <c r="B206" s="346"/>
      <c r="C206" s="327" t="s">
        <v>524</v>
      </c>
      <c r="D206" s="329" t="s">
        <v>704</v>
      </c>
      <c r="E206" s="330">
        <v>1</v>
      </c>
      <c r="F206" s="334">
        <f t="shared" si="10"/>
        <v>602394.93000000005</v>
      </c>
      <c r="G206" s="334">
        <f>НМЦК!K212</f>
        <v>602394.93000000005</v>
      </c>
      <c r="H206" s="502"/>
      <c r="I206" s="334"/>
    </row>
    <row r="207" spans="1:9" ht="23.25" hidden="1" customHeight="1" outlineLevel="1" x14ac:dyDescent="0.2">
      <c r="A207" s="326" t="s">
        <v>1135</v>
      </c>
      <c r="B207" s="346"/>
      <c r="C207" s="327" t="s">
        <v>523</v>
      </c>
      <c r="D207" s="329" t="s">
        <v>704</v>
      </c>
      <c r="E207" s="330">
        <v>1</v>
      </c>
      <c r="F207" s="334">
        <f t="shared" si="10"/>
        <v>2511084.2200000002</v>
      </c>
      <c r="G207" s="334">
        <f>НМЦК!K213</f>
        <v>2511084.2200000002</v>
      </c>
      <c r="H207" s="334"/>
      <c r="I207" s="334"/>
    </row>
    <row r="208" spans="1:9" ht="33" hidden="1" customHeight="1" outlineLevel="1" x14ac:dyDescent="0.2">
      <c r="A208" s="326" t="s">
        <v>1136</v>
      </c>
      <c r="B208" s="346"/>
      <c r="C208" s="327" t="s">
        <v>524</v>
      </c>
      <c r="D208" s="329" t="s">
        <v>704</v>
      </c>
      <c r="E208" s="330">
        <v>1</v>
      </c>
      <c r="F208" s="334">
        <f t="shared" si="10"/>
        <v>601433.69999999995</v>
      </c>
      <c r="G208" s="334">
        <f>НМЦК!K214</f>
        <v>601433.69999999995</v>
      </c>
      <c r="H208" s="334"/>
      <c r="I208" s="334"/>
    </row>
    <row r="209" spans="1:9" ht="26.25" hidden="1" customHeight="1" outlineLevel="1" x14ac:dyDescent="0.2">
      <c r="A209" s="326" t="s">
        <v>1137</v>
      </c>
      <c r="B209" s="346"/>
      <c r="C209" s="327" t="s">
        <v>527</v>
      </c>
      <c r="D209" s="329" t="s">
        <v>704</v>
      </c>
      <c r="E209" s="330">
        <v>1</v>
      </c>
      <c r="F209" s="334">
        <f t="shared" si="10"/>
        <v>831645.25</v>
      </c>
      <c r="G209" s="334">
        <f>НМЦК!K215</f>
        <v>831645.25</v>
      </c>
      <c r="H209" s="334"/>
      <c r="I209" s="334"/>
    </row>
    <row r="210" spans="1:9" ht="26.25" hidden="1" customHeight="1" outlineLevel="1" x14ac:dyDescent="0.2">
      <c r="A210" s="326" t="s">
        <v>1138</v>
      </c>
      <c r="B210" s="346"/>
      <c r="C210" s="327" t="s">
        <v>528</v>
      </c>
      <c r="D210" s="329" t="s">
        <v>704</v>
      </c>
      <c r="E210" s="330">
        <v>1</v>
      </c>
      <c r="F210" s="334">
        <f t="shared" si="10"/>
        <v>341712.77</v>
      </c>
      <c r="G210" s="334">
        <f>НМЦК!K216</f>
        <v>341712.77</v>
      </c>
      <c r="H210" s="334"/>
      <c r="I210" s="334"/>
    </row>
    <row r="211" spans="1:9" ht="26.25" hidden="1" customHeight="1" outlineLevel="1" x14ac:dyDescent="0.2">
      <c r="A211" s="326" t="s">
        <v>1139</v>
      </c>
      <c r="B211" s="346"/>
      <c r="C211" s="327" t="s">
        <v>541</v>
      </c>
      <c r="D211" s="329" t="s">
        <v>704</v>
      </c>
      <c r="E211" s="330">
        <v>1</v>
      </c>
      <c r="F211" s="334">
        <f t="shared" si="10"/>
        <v>3170863.81</v>
      </c>
      <c r="G211" s="334">
        <f>НМЦК!K217</f>
        <v>3170863.81</v>
      </c>
      <c r="H211" s="334"/>
      <c r="I211" s="334"/>
    </row>
    <row r="212" spans="1:9" ht="26.25" hidden="1" customHeight="1" outlineLevel="1" x14ac:dyDescent="0.2">
      <c r="A212" s="326" t="s">
        <v>1140</v>
      </c>
      <c r="B212" s="346"/>
      <c r="C212" s="327" t="s">
        <v>532</v>
      </c>
      <c r="D212" s="329" t="s">
        <v>704</v>
      </c>
      <c r="E212" s="330">
        <v>1</v>
      </c>
      <c r="F212" s="334">
        <f t="shared" si="10"/>
        <v>218388.58</v>
      </c>
      <c r="G212" s="334">
        <f>НМЦК!K218</f>
        <v>218388.58</v>
      </c>
      <c r="H212" s="334"/>
      <c r="I212" s="334"/>
    </row>
    <row r="213" spans="1:9" ht="23.25" customHeight="1" collapsed="1" x14ac:dyDescent="0.2">
      <c r="A213" s="134" t="s">
        <v>680</v>
      </c>
      <c r="B213" s="123"/>
      <c r="C213" s="126" t="s">
        <v>632</v>
      </c>
      <c r="D213" s="319" t="s">
        <v>704</v>
      </c>
      <c r="E213" s="320">
        <v>1</v>
      </c>
      <c r="F213" s="180">
        <f t="shared" si="10"/>
        <v>20372210.300000001</v>
      </c>
      <c r="G213" s="180">
        <f>НМЦК!K219</f>
        <v>20372210.300000001</v>
      </c>
      <c r="H213" s="180">
        <f>I213</f>
        <v>12058003.34</v>
      </c>
      <c r="I213" s="180">
        <f>НМЦК!L219</f>
        <v>12058003.34</v>
      </c>
    </row>
    <row r="214" spans="1:9" s="142" customFormat="1" ht="30" customHeight="1" collapsed="1" x14ac:dyDescent="0.2">
      <c r="A214" s="132" t="s">
        <v>1009</v>
      </c>
      <c r="B214" s="132" t="s">
        <v>49</v>
      </c>
      <c r="C214" s="121" t="s">
        <v>50</v>
      </c>
      <c r="D214" s="329" t="s">
        <v>704</v>
      </c>
      <c r="E214" s="330">
        <v>1</v>
      </c>
      <c r="F214" s="334">
        <f t="shared" si="10"/>
        <v>20372210.300000001</v>
      </c>
      <c r="G214" s="334">
        <f>НМЦК!K220</f>
        <v>20372210.300000001</v>
      </c>
      <c r="H214" s="334">
        <f>I214</f>
        <v>12058003.34</v>
      </c>
      <c r="I214" s="334">
        <f>НМЦК!L220</f>
        <v>12058003.34</v>
      </c>
    </row>
    <row r="215" spans="1:9" ht="17.25" hidden="1" customHeight="1" outlineLevel="1" x14ac:dyDescent="0.2">
      <c r="A215" s="375" t="s">
        <v>1141</v>
      </c>
      <c r="B215" s="375"/>
      <c r="C215" s="376" t="s">
        <v>374</v>
      </c>
      <c r="D215" s="358" t="s">
        <v>704</v>
      </c>
      <c r="E215" s="359">
        <v>1</v>
      </c>
      <c r="F215" s="360">
        <f t="shared" si="10"/>
        <v>905811.64</v>
      </c>
      <c r="G215" s="360">
        <f>НМЦК!K221</f>
        <v>905811.64</v>
      </c>
      <c r="H215" s="360"/>
      <c r="I215" s="379"/>
    </row>
    <row r="216" spans="1:9" ht="17.25" hidden="1" customHeight="1" outlineLevel="1" x14ac:dyDescent="0.2">
      <c r="A216" s="375" t="s">
        <v>1142</v>
      </c>
      <c r="B216" s="375"/>
      <c r="C216" s="376" t="s">
        <v>545</v>
      </c>
      <c r="D216" s="358" t="s">
        <v>704</v>
      </c>
      <c r="E216" s="359">
        <v>1</v>
      </c>
      <c r="F216" s="360">
        <f t="shared" si="10"/>
        <v>7371690.3700000001</v>
      </c>
      <c r="G216" s="360">
        <f>НМЦК!K222</f>
        <v>7371690.3700000001</v>
      </c>
      <c r="H216" s="360"/>
      <c r="I216" s="379"/>
    </row>
    <row r="217" spans="1:9" ht="17.25" hidden="1" customHeight="1" outlineLevel="1" x14ac:dyDescent="0.2">
      <c r="A217" s="375" t="s">
        <v>1143</v>
      </c>
      <c r="B217" s="375"/>
      <c r="C217" s="376" t="s">
        <v>546</v>
      </c>
      <c r="D217" s="358" t="s">
        <v>704</v>
      </c>
      <c r="E217" s="359">
        <v>1</v>
      </c>
      <c r="F217" s="360">
        <f t="shared" si="10"/>
        <v>12094708.300000001</v>
      </c>
      <c r="G217" s="360">
        <f>НМЦК!K223</f>
        <v>12094708.300000001</v>
      </c>
      <c r="H217" s="360">
        <f>I217</f>
        <v>12058003.34</v>
      </c>
      <c r="I217" s="379">
        <f>НМЦК!L223</f>
        <v>12058003.34</v>
      </c>
    </row>
    <row r="218" spans="1:9" ht="25.5" customHeight="1" collapsed="1" x14ac:dyDescent="0.2">
      <c r="A218" s="123"/>
      <c r="B218" s="123"/>
      <c r="C218" s="126" t="s">
        <v>633</v>
      </c>
      <c r="D218" s="126"/>
      <c r="E218" s="127"/>
      <c r="F218" s="122"/>
      <c r="G218" s="122"/>
      <c r="H218" s="122"/>
      <c r="I218" s="122"/>
    </row>
    <row r="219" spans="1:9" x14ac:dyDescent="0.2">
      <c r="A219" s="134" t="s">
        <v>681</v>
      </c>
      <c r="B219" s="134" t="s">
        <v>53</v>
      </c>
      <c r="C219" s="133" t="s">
        <v>54</v>
      </c>
      <c r="D219" s="342" t="s">
        <v>704</v>
      </c>
      <c r="E219" s="343">
        <v>1</v>
      </c>
      <c r="F219" s="150">
        <f t="shared" si="10"/>
        <v>37680604.350000001</v>
      </c>
      <c r="G219" s="150">
        <f>НМЦК!K225</f>
        <v>37680604.350000001</v>
      </c>
      <c r="H219" s="150">
        <f>I219</f>
        <v>22109363.75</v>
      </c>
      <c r="I219" s="150">
        <f>I220+I229</f>
        <v>22109363.75</v>
      </c>
    </row>
    <row r="220" spans="1:9" s="142" customFormat="1" ht="17.25" customHeight="1" x14ac:dyDescent="0.2">
      <c r="A220" s="326" t="s">
        <v>682</v>
      </c>
      <c r="B220" s="326" t="s">
        <v>335</v>
      </c>
      <c r="C220" s="327" t="s">
        <v>54</v>
      </c>
      <c r="D220" s="329" t="s">
        <v>704</v>
      </c>
      <c r="E220" s="330">
        <v>1</v>
      </c>
      <c r="F220" s="334">
        <f t="shared" si="10"/>
        <v>29653670.43</v>
      </c>
      <c r="G220" s="334">
        <f>НМЦК!K226</f>
        <v>29653670.43</v>
      </c>
      <c r="H220" s="334">
        <f>I220</f>
        <v>22109363.75</v>
      </c>
      <c r="I220" s="334">
        <f>НМЦК!L226</f>
        <v>22109363.75</v>
      </c>
    </row>
    <row r="221" spans="1:9" s="137" customFormat="1" ht="17.25" hidden="1" customHeight="1" outlineLevel="1" x14ac:dyDescent="0.2">
      <c r="A221" s="375" t="s">
        <v>1144</v>
      </c>
      <c r="B221" s="375"/>
      <c r="C221" s="376" t="s">
        <v>374</v>
      </c>
      <c r="D221" s="358" t="s">
        <v>704</v>
      </c>
      <c r="E221" s="359">
        <v>1</v>
      </c>
      <c r="F221" s="365">
        <f t="shared" si="10"/>
        <v>929593.28</v>
      </c>
      <c r="G221" s="360">
        <f>НМЦК!K227</f>
        <v>929593.28</v>
      </c>
      <c r="H221" s="365"/>
      <c r="I221" s="365"/>
    </row>
    <row r="222" spans="1:9" s="137" customFormat="1" ht="17.25" hidden="1" customHeight="1" outlineLevel="1" x14ac:dyDescent="0.2">
      <c r="A222" s="375" t="s">
        <v>1145</v>
      </c>
      <c r="B222" s="375"/>
      <c r="C222" s="376" t="s">
        <v>547</v>
      </c>
      <c r="D222" s="358" t="s">
        <v>704</v>
      </c>
      <c r="E222" s="359">
        <v>1</v>
      </c>
      <c r="F222" s="365">
        <f t="shared" si="10"/>
        <v>4743799.8899999997</v>
      </c>
      <c r="G222" s="360">
        <f>НМЦК!K228</f>
        <v>4743799.8899999997</v>
      </c>
      <c r="H222" s="365"/>
      <c r="I222" s="365"/>
    </row>
    <row r="223" spans="1:9" s="137" customFormat="1" ht="17.25" hidden="1" customHeight="1" outlineLevel="1" x14ac:dyDescent="0.2">
      <c r="A223" s="375" t="s">
        <v>1146</v>
      </c>
      <c r="B223" s="375"/>
      <c r="C223" s="376" t="s">
        <v>548</v>
      </c>
      <c r="D223" s="358" t="s">
        <v>704</v>
      </c>
      <c r="E223" s="359">
        <v>1</v>
      </c>
      <c r="F223" s="365">
        <f t="shared" si="10"/>
        <v>44023.75</v>
      </c>
      <c r="G223" s="360">
        <f>НМЦК!K229</f>
        <v>44023.75</v>
      </c>
      <c r="H223" s="365"/>
      <c r="I223" s="365"/>
    </row>
    <row r="224" spans="1:9" s="137" customFormat="1" ht="17.25" hidden="1" customHeight="1" outlineLevel="1" x14ac:dyDescent="0.2">
      <c r="A224" s="375" t="s">
        <v>1147</v>
      </c>
      <c r="B224" s="375"/>
      <c r="C224" s="376" t="s">
        <v>545</v>
      </c>
      <c r="D224" s="358" t="s">
        <v>704</v>
      </c>
      <c r="E224" s="359">
        <v>1</v>
      </c>
      <c r="F224" s="365">
        <f t="shared" si="10"/>
        <v>1055993.3899999999</v>
      </c>
      <c r="G224" s="360">
        <f>НМЦК!K230</f>
        <v>1055993.3899999999</v>
      </c>
      <c r="H224" s="365"/>
      <c r="I224" s="365"/>
    </row>
    <row r="225" spans="1:9" s="137" customFormat="1" ht="17.25" hidden="1" customHeight="1" outlineLevel="1" x14ac:dyDescent="0.2">
      <c r="A225" s="375" t="s">
        <v>1148</v>
      </c>
      <c r="B225" s="375"/>
      <c r="C225" s="376" t="s">
        <v>549</v>
      </c>
      <c r="D225" s="358" t="s">
        <v>704</v>
      </c>
      <c r="E225" s="359">
        <v>1</v>
      </c>
      <c r="F225" s="365">
        <f t="shared" si="10"/>
        <v>30758.959999999999</v>
      </c>
      <c r="G225" s="360">
        <f>НМЦК!K231</f>
        <v>30758.959999999999</v>
      </c>
      <c r="H225" s="365"/>
      <c r="I225" s="365"/>
    </row>
    <row r="226" spans="1:9" s="137" customFormat="1" ht="17.25" hidden="1" customHeight="1" outlineLevel="1" x14ac:dyDescent="0.2">
      <c r="A226" s="375" t="s">
        <v>1149</v>
      </c>
      <c r="B226" s="375"/>
      <c r="C226" s="376" t="s">
        <v>550</v>
      </c>
      <c r="D226" s="358" t="s">
        <v>704</v>
      </c>
      <c r="E226" s="359">
        <v>1</v>
      </c>
      <c r="F226" s="365">
        <f t="shared" si="10"/>
        <v>21101396.5</v>
      </c>
      <c r="G226" s="360">
        <f>НМЦК!K232</f>
        <v>21101396.5</v>
      </c>
      <c r="H226" s="365">
        <f>I226</f>
        <v>20891851.120000001</v>
      </c>
      <c r="I226" s="365">
        <f>НМЦК!L232</f>
        <v>20891851.120000001</v>
      </c>
    </row>
    <row r="227" spans="1:9" s="137" customFormat="1" ht="17.25" hidden="1" customHeight="1" outlineLevel="1" x14ac:dyDescent="0.2">
      <c r="A227" s="375" t="s">
        <v>1150</v>
      </c>
      <c r="B227" s="375"/>
      <c r="C227" s="376" t="s">
        <v>551</v>
      </c>
      <c r="D227" s="358" t="s">
        <v>704</v>
      </c>
      <c r="E227" s="359">
        <v>1</v>
      </c>
      <c r="F227" s="365">
        <f t="shared" si="10"/>
        <v>874052.3</v>
      </c>
      <c r="G227" s="360">
        <f>НМЦК!K233</f>
        <v>874052.3</v>
      </c>
      <c r="H227" s="365">
        <f>I227</f>
        <v>608756.31000000006</v>
      </c>
      <c r="I227" s="365">
        <f>НМЦК!L233</f>
        <v>608756.31000000006</v>
      </c>
    </row>
    <row r="228" spans="1:9" s="137" customFormat="1" ht="17.25" hidden="1" customHeight="1" outlineLevel="1" x14ac:dyDescent="0.2">
      <c r="A228" s="375" t="s">
        <v>1151</v>
      </c>
      <c r="B228" s="375"/>
      <c r="C228" s="376" t="s">
        <v>552</v>
      </c>
      <c r="D228" s="358" t="s">
        <v>704</v>
      </c>
      <c r="E228" s="359">
        <v>1</v>
      </c>
      <c r="F228" s="365">
        <f t="shared" si="10"/>
        <v>874052.3</v>
      </c>
      <c r="G228" s="360">
        <f>НМЦК!K234</f>
        <v>874052.3</v>
      </c>
      <c r="H228" s="365">
        <f>I228</f>
        <v>608756.31000000006</v>
      </c>
      <c r="I228" s="365">
        <f>НМЦК!L234</f>
        <v>608756.31000000006</v>
      </c>
    </row>
    <row r="229" spans="1:9" s="142" customFormat="1" ht="31.5" collapsed="1" x14ac:dyDescent="0.2">
      <c r="A229" s="326" t="s">
        <v>683</v>
      </c>
      <c r="B229" s="326" t="s">
        <v>336</v>
      </c>
      <c r="C229" s="327" t="s">
        <v>337</v>
      </c>
      <c r="D229" s="329" t="s">
        <v>704</v>
      </c>
      <c r="E229" s="330">
        <v>1</v>
      </c>
      <c r="F229" s="334">
        <f t="shared" si="10"/>
        <v>8026933.9199999999</v>
      </c>
      <c r="G229" s="334">
        <f>НМЦК!K235</f>
        <v>8026933.9199999999</v>
      </c>
      <c r="H229" s="334"/>
      <c r="I229" s="334">
        <f>НМЦК!L235</f>
        <v>0</v>
      </c>
    </row>
    <row r="230" spans="1:9" ht="30.75" customHeight="1" x14ac:dyDescent="0.2">
      <c r="A230" s="446" t="s">
        <v>684</v>
      </c>
      <c r="B230" s="123"/>
      <c r="C230" s="544" t="s">
        <v>634</v>
      </c>
      <c r="D230" s="433" t="s">
        <v>704</v>
      </c>
      <c r="E230" s="545">
        <v>1</v>
      </c>
      <c r="F230" s="546">
        <f t="shared" si="10"/>
        <v>63130371.770000003</v>
      </c>
      <c r="G230" s="546">
        <f>НМЦК!K236</f>
        <v>63130371.770000003</v>
      </c>
      <c r="H230" s="546">
        <f>I230</f>
        <v>30641472.780000001</v>
      </c>
      <c r="I230" s="546">
        <f>I231+I237+I244</f>
        <v>30641472.780000001</v>
      </c>
    </row>
    <row r="231" spans="1:9" s="553" customFormat="1" ht="29.25" customHeight="1" x14ac:dyDescent="0.2">
      <c r="A231" s="326" t="s">
        <v>1010</v>
      </c>
      <c r="B231" s="326" t="s">
        <v>57</v>
      </c>
      <c r="C231" s="327" t="s">
        <v>58</v>
      </c>
      <c r="D231" s="329" t="s">
        <v>704</v>
      </c>
      <c r="E231" s="330">
        <v>1</v>
      </c>
      <c r="F231" s="334">
        <f t="shared" si="10"/>
        <v>14842121.85</v>
      </c>
      <c r="G231" s="334">
        <f>НМЦК!K237</f>
        <v>14842121.85</v>
      </c>
      <c r="H231" s="334"/>
      <c r="I231" s="334"/>
    </row>
    <row r="232" spans="1:9" s="508" customFormat="1" ht="17.25" hidden="1" customHeight="1" outlineLevel="1" x14ac:dyDescent="0.2">
      <c r="A232" s="375" t="s">
        <v>1152</v>
      </c>
      <c r="B232" s="375"/>
      <c r="C232" s="376" t="s">
        <v>374</v>
      </c>
      <c r="D232" s="358" t="s">
        <v>704</v>
      </c>
      <c r="E232" s="359">
        <v>1</v>
      </c>
      <c r="F232" s="365">
        <f t="shared" si="10"/>
        <v>1272919.6399999999</v>
      </c>
      <c r="G232" s="360">
        <f>НМЦК!K238</f>
        <v>1272919.6399999999</v>
      </c>
      <c r="H232" s="365"/>
      <c r="I232" s="365"/>
    </row>
    <row r="233" spans="1:9" s="508" customFormat="1" ht="17.25" hidden="1" customHeight="1" outlineLevel="1" x14ac:dyDescent="0.2">
      <c r="A233" s="375" t="s">
        <v>1153</v>
      </c>
      <c r="B233" s="375"/>
      <c r="C233" s="376" t="s">
        <v>556</v>
      </c>
      <c r="D233" s="358" t="s">
        <v>704</v>
      </c>
      <c r="E233" s="359">
        <v>1</v>
      </c>
      <c r="F233" s="365">
        <f t="shared" si="10"/>
        <v>5587499.8300000001</v>
      </c>
      <c r="G233" s="360">
        <f>НМЦК!K239</f>
        <v>5587499.8300000001</v>
      </c>
      <c r="H233" s="365"/>
      <c r="I233" s="365"/>
    </row>
    <row r="234" spans="1:9" s="508" customFormat="1" ht="17.25" hidden="1" customHeight="1" outlineLevel="1" x14ac:dyDescent="0.2">
      <c r="A234" s="375" t="s">
        <v>1154</v>
      </c>
      <c r="B234" s="375"/>
      <c r="C234" s="376" t="s">
        <v>557</v>
      </c>
      <c r="D234" s="358" t="s">
        <v>704</v>
      </c>
      <c r="E234" s="359">
        <v>1</v>
      </c>
      <c r="F234" s="365">
        <f t="shared" si="10"/>
        <v>7878627.6699999999</v>
      </c>
      <c r="G234" s="360">
        <f>НМЦК!K240</f>
        <v>7878627.6699999999</v>
      </c>
      <c r="H234" s="365"/>
      <c r="I234" s="365"/>
    </row>
    <row r="235" spans="1:9" s="508" customFormat="1" ht="17.25" hidden="1" customHeight="1" outlineLevel="1" x14ac:dyDescent="0.2">
      <c r="A235" s="375" t="s">
        <v>1155</v>
      </c>
      <c r="B235" s="375"/>
      <c r="C235" s="376" t="s">
        <v>558</v>
      </c>
      <c r="D235" s="358" t="s">
        <v>704</v>
      </c>
      <c r="E235" s="359">
        <v>1</v>
      </c>
      <c r="F235" s="365">
        <f t="shared" si="10"/>
        <v>99993.1</v>
      </c>
      <c r="G235" s="360">
        <f>НМЦК!K241</f>
        <v>99993.1</v>
      </c>
      <c r="H235" s="365"/>
      <c r="I235" s="365"/>
    </row>
    <row r="236" spans="1:9" s="508" customFormat="1" ht="33.75" hidden="1" customHeight="1" outlineLevel="1" x14ac:dyDescent="0.2">
      <c r="A236" s="375" t="s">
        <v>1156</v>
      </c>
      <c r="B236" s="375"/>
      <c r="C236" s="376" t="s">
        <v>532</v>
      </c>
      <c r="D236" s="358" t="s">
        <v>704</v>
      </c>
      <c r="E236" s="359">
        <v>1</v>
      </c>
      <c r="F236" s="365">
        <f t="shared" ref="F236:F290" si="11">G236/E236</f>
        <v>3081.61</v>
      </c>
      <c r="G236" s="360">
        <f>НМЦК!K242</f>
        <v>3081.61</v>
      </c>
      <c r="H236" s="365"/>
      <c r="I236" s="365"/>
    </row>
    <row r="237" spans="1:9" s="553" customFormat="1" ht="29.25" customHeight="1" collapsed="1" x14ac:dyDescent="0.2">
      <c r="A237" s="326" t="s">
        <v>1011</v>
      </c>
      <c r="B237" s="326" t="s">
        <v>59</v>
      </c>
      <c r="C237" s="327" t="s">
        <v>60</v>
      </c>
      <c r="D237" s="329" t="s">
        <v>704</v>
      </c>
      <c r="E237" s="330">
        <v>1</v>
      </c>
      <c r="F237" s="334">
        <f t="shared" si="11"/>
        <v>44007862.539999999</v>
      </c>
      <c r="G237" s="334">
        <f>НМЦК!K243</f>
        <v>44007862.539999999</v>
      </c>
      <c r="H237" s="334">
        <f>I237</f>
        <v>30641472.780000001</v>
      </c>
      <c r="I237" s="334">
        <f>НМЦК!L243</f>
        <v>30641472.780000001</v>
      </c>
    </row>
    <row r="238" spans="1:9" s="508" customFormat="1" ht="17.25" hidden="1" customHeight="1" outlineLevel="1" x14ac:dyDescent="0.2">
      <c r="A238" s="375" t="s">
        <v>1157</v>
      </c>
      <c r="B238" s="375"/>
      <c r="C238" s="376" t="s">
        <v>374</v>
      </c>
      <c r="D238" s="358" t="s">
        <v>704</v>
      </c>
      <c r="E238" s="359">
        <v>1</v>
      </c>
      <c r="F238" s="365">
        <f t="shared" si="11"/>
        <v>1199674.8400000001</v>
      </c>
      <c r="G238" s="360">
        <f>НМЦК!K244</f>
        <v>1199674.8400000001</v>
      </c>
      <c r="H238" s="502"/>
      <c r="I238" s="365"/>
    </row>
    <row r="239" spans="1:9" s="508" customFormat="1" ht="17.25" hidden="1" customHeight="1" outlineLevel="1" x14ac:dyDescent="0.2">
      <c r="A239" s="375" t="s">
        <v>1158</v>
      </c>
      <c r="B239" s="375"/>
      <c r="C239" s="376" t="s">
        <v>556</v>
      </c>
      <c r="D239" s="358" t="s">
        <v>704</v>
      </c>
      <c r="E239" s="359">
        <v>1</v>
      </c>
      <c r="F239" s="365">
        <f t="shared" si="11"/>
        <v>1904960.42</v>
      </c>
      <c r="G239" s="360">
        <f>НМЦК!K245</f>
        <v>1904960.42</v>
      </c>
      <c r="H239" s="365"/>
      <c r="I239" s="365"/>
    </row>
    <row r="240" spans="1:9" s="508" customFormat="1" ht="17.25" hidden="1" customHeight="1" outlineLevel="1" x14ac:dyDescent="0.2">
      <c r="A240" s="375" t="s">
        <v>1159</v>
      </c>
      <c r="B240" s="375"/>
      <c r="C240" s="376" t="s">
        <v>566</v>
      </c>
      <c r="D240" s="358" t="s">
        <v>704</v>
      </c>
      <c r="E240" s="359">
        <v>1</v>
      </c>
      <c r="F240" s="365">
        <f t="shared" si="11"/>
        <v>7988210.1799999997</v>
      </c>
      <c r="G240" s="360">
        <f>НМЦК!K246</f>
        <v>7988210.1799999997</v>
      </c>
      <c r="H240" s="365"/>
      <c r="I240" s="365"/>
    </row>
    <row r="241" spans="1:9" s="508" customFormat="1" ht="17.25" hidden="1" customHeight="1" outlineLevel="1" x14ac:dyDescent="0.2">
      <c r="A241" s="375" t="s">
        <v>1160</v>
      </c>
      <c r="B241" s="375"/>
      <c r="C241" s="376" t="s">
        <v>569</v>
      </c>
      <c r="D241" s="358" t="s">
        <v>704</v>
      </c>
      <c r="E241" s="359">
        <v>1</v>
      </c>
      <c r="F241" s="365">
        <f t="shared" si="11"/>
        <v>201528.95</v>
      </c>
      <c r="G241" s="360">
        <f>НМЦК!K247</f>
        <v>201528.95</v>
      </c>
      <c r="H241" s="365">
        <f>I241</f>
        <v>174529.63</v>
      </c>
      <c r="I241" s="365">
        <f>НМЦК!L247</f>
        <v>174529.63</v>
      </c>
    </row>
    <row r="242" spans="1:9" s="508" customFormat="1" ht="17.25" hidden="1" customHeight="1" outlineLevel="1" x14ac:dyDescent="0.2">
      <c r="A242" s="375" t="s">
        <v>1161</v>
      </c>
      <c r="B242" s="375"/>
      <c r="C242" s="376" t="s">
        <v>570</v>
      </c>
      <c r="D242" s="358" t="s">
        <v>704</v>
      </c>
      <c r="E242" s="359">
        <v>1</v>
      </c>
      <c r="F242" s="365">
        <f t="shared" si="11"/>
        <v>32431000.52</v>
      </c>
      <c r="G242" s="360">
        <f>НМЦК!K248</f>
        <v>32431000.52</v>
      </c>
      <c r="H242" s="365">
        <f>I242</f>
        <v>30466943.16</v>
      </c>
      <c r="I242" s="365">
        <f>НМЦК!L248</f>
        <v>30466943.16</v>
      </c>
    </row>
    <row r="243" spans="1:9" s="508" customFormat="1" ht="18.75" hidden="1" customHeight="1" outlineLevel="1" x14ac:dyDescent="0.2">
      <c r="A243" s="375" t="s">
        <v>1162</v>
      </c>
      <c r="B243" s="375"/>
      <c r="C243" s="376" t="s">
        <v>532</v>
      </c>
      <c r="D243" s="358" t="s">
        <v>704</v>
      </c>
      <c r="E243" s="359">
        <v>1</v>
      </c>
      <c r="F243" s="365">
        <f t="shared" si="11"/>
        <v>282487.63</v>
      </c>
      <c r="G243" s="360">
        <f>НМЦК!K249</f>
        <v>282487.63</v>
      </c>
      <c r="H243" s="365"/>
      <c r="I243" s="365"/>
    </row>
    <row r="244" spans="1:9" s="553" customFormat="1" ht="30.75" customHeight="1" collapsed="1" x14ac:dyDescent="0.2">
      <c r="A244" s="326" t="s">
        <v>1012</v>
      </c>
      <c r="B244" s="326" t="s">
        <v>61</v>
      </c>
      <c r="C244" s="327" t="s">
        <v>62</v>
      </c>
      <c r="D244" s="329" t="s">
        <v>704</v>
      </c>
      <c r="E244" s="330">
        <v>1</v>
      </c>
      <c r="F244" s="334">
        <f t="shared" si="11"/>
        <v>4280387.38</v>
      </c>
      <c r="G244" s="334">
        <f>НМЦК!K250</f>
        <v>4280387.38</v>
      </c>
      <c r="H244" s="334"/>
      <c r="I244" s="334"/>
    </row>
    <row r="245" spans="1:9" ht="17.25" hidden="1" customHeight="1" outlineLevel="1" x14ac:dyDescent="0.2">
      <c r="A245" s="547" t="s">
        <v>1163</v>
      </c>
      <c r="B245" s="547"/>
      <c r="C245" s="548" t="s">
        <v>374</v>
      </c>
      <c r="D245" s="549" t="s">
        <v>704</v>
      </c>
      <c r="E245" s="550">
        <v>1</v>
      </c>
      <c r="F245" s="551">
        <f t="shared" si="11"/>
        <v>871519.74</v>
      </c>
      <c r="G245" s="552">
        <f>НМЦК!K251</f>
        <v>871519.74</v>
      </c>
      <c r="H245" s="551"/>
      <c r="I245" s="551"/>
    </row>
    <row r="246" spans="1:9" ht="17.25" hidden="1" customHeight="1" outlineLevel="1" x14ac:dyDescent="0.2">
      <c r="A246" s="375" t="s">
        <v>1164</v>
      </c>
      <c r="B246" s="375"/>
      <c r="C246" s="376" t="s">
        <v>572</v>
      </c>
      <c r="D246" s="358" t="s">
        <v>704</v>
      </c>
      <c r="E246" s="359">
        <v>1</v>
      </c>
      <c r="F246" s="365">
        <f t="shared" si="11"/>
        <v>2572064.54</v>
      </c>
      <c r="G246" s="360">
        <f>НМЦК!K252</f>
        <v>2572064.54</v>
      </c>
      <c r="H246" s="365"/>
      <c r="I246" s="365"/>
    </row>
    <row r="247" spans="1:9" ht="17.25" hidden="1" customHeight="1" outlineLevel="1" x14ac:dyDescent="0.2">
      <c r="A247" s="375" t="s">
        <v>1165</v>
      </c>
      <c r="B247" s="375"/>
      <c r="C247" s="376" t="s">
        <v>573</v>
      </c>
      <c r="D247" s="358" t="s">
        <v>704</v>
      </c>
      <c r="E247" s="359">
        <v>1</v>
      </c>
      <c r="F247" s="365">
        <f t="shared" si="11"/>
        <v>194640.66</v>
      </c>
      <c r="G247" s="360">
        <f>НМЦК!K253</f>
        <v>194640.66</v>
      </c>
      <c r="H247" s="365"/>
      <c r="I247" s="365"/>
    </row>
    <row r="248" spans="1:9" ht="17.25" hidden="1" customHeight="1" outlineLevel="1" x14ac:dyDescent="0.2">
      <c r="A248" s="375" t="s">
        <v>1166</v>
      </c>
      <c r="B248" s="375"/>
      <c r="C248" s="376" t="s">
        <v>576</v>
      </c>
      <c r="D248" s="358" t="s">
        <v>704</v>
      </c>
      <c r="E248" s="359">
        <v>1</v>
      </c>
      <c r="F248" s="365">
        <f t="shared" si="11"/>
        <v>468958.81</v>
      </c>
      <c r="G248" s="360">
        <f>НМЦК!K254</f>
        <v>468958.81</v>
      </c>
      <c r="H248" s="365"/>
      <c r="I248" s="365"/>
    </row>
    <row r="249" spans="1:9" ht="17.25" hidden="1" customHeight="1" outlineLevel="1" x14ac:dyDescent="0.2">
      <c r="A249" s="375" t="s">
        <v>1167</v>
      </c>
      <c r="B249" s="375"/>
      <c r="C249" s="376" t="s">
        <v>561</v>
      </c>
      <c r="D249" s="358" t="s">
        <v>704</v>
      </c>
      <c r="E249" s="359">
        <v>1</v>
      </c>
      <c r="F249" s="365">
        <f t="shared" si="11"/>
        <v>173203.64</v>
      </c>
      <c r="G249" s="360">
        <f>НМЦК!K255</f>
        <v>173203.64</v>
      </c>
      <c r="H249" s="365"/>
      <c r="I249" s="365"/>
    </row>
    <row r="250" spans="1:9" ht="29.25" customHeight="1" collapsed="1" x14ac:dyDescent="0.2">
      <c r="A250" s="123"/>
      <c r="B250" s="123"/>
      <c r="C250" s="126" t="s">
        <v>635</v>
      </c>
      <c r="D250" s="126"/>
      <c r="E250" s="127"/>
      <c r="F250" s="122"/>
      <c r="G250" s="122"/>
      <c r="H250" s="122"/>
      <c r="I250" s="122"/>
    </row>
    <row r="251" spans="1:9" s="145" customFormat="1" ht="31.5" x14ac:dyDescent="0.2">
      <c r="A251" s="134" t="s">
        <v>685</v>
      </c>
      <c r="B251" s="134" t="s">
        <v>65</v>
      </c>
      <c r="C251" s="133" t="s">
        <v>66</v>
      </c>
      <c r="D251" s="120" t="s">
        <v>704</v>
      </c>
      <c r="E251" s="119">
        <v>1</v>
      </c>
      <c r="F251" s="150">
        <f t="shared" si="11"/>
        <v>16951644.82</v>
      </c>
      <c r="G251" s="150">
        <f>НМЦК!K257</f>
        <v>16951644.82</v>
      </c>
      <c r="H251" s="150"/>
      <c r="I251" s="150"/>
    </row>
    <row r="252" spans="1:9" s="142" customFormat="1" x14ac:dyDescent="0.2">
      <c r="A252" s="326" t="s">
        <v>1013</v>
      </c>
      <c r="B252" s="326" t="s">
        <v>272</v>
      </c>
      <c r="C252" s="327" t="s">
        <v>273</v>
      </c>
      <c r="D252" s="329" t="s">
        <v>704</v>
      </c>
      <c r="E252" s="330">
        <v>1</v>
      </c>
      <c r="F252" s="334">
        <f t="shared" si="11"/>
        <v>12960093.630000001</v>
      </c>
      <c r="G252" s="334">
        <f>НМЦК!K258</f>
        <v>12960093.630000001</v>
      </c>
      <c r="H252" s="334"/>
      <c r="I252" s="334"/>
    </row>
    <row r="253" spans="1:9" ht="31.5" hidden="1" outlineLevel="1" x14ac:dyDescent="0.2">
      <c r="A253" s="375" t="s">
        <v>1168</v>
      </c>
      <c r="B253" s="375"/>
      <c r="C253" s="376" t="s">
        <v>399</v>
      </c>
      <c r="D253" s="358" t="s">
        <v>704</v>
      </c>
      <c r="E253" s="359">
        <v>1</v>
      </c>
      <c r="F253" s="365">
        <f t="shared" si="11"/>
        <v>4920471.6399999997</v>
      </c>
      <c r="G253" s="360">
        <f>НМЦК!K259</f>
        <v>4920471.6399999997</v>
      </c>
      <c r="H253" s="365"/>
      <c r="I253" s="365"/>
    </row>
    <row r="254" spans="1:9" ht="31.5" hidden="1" outlineLevel="1" x14ac:dyDescent="0.2">
      <c r="A254" s="375" t="s">
        <v>1169</v>
      </c>
      <c r="B254" s="375"/>
      <c r="C254" s="376" t="s">
        <v>401</v>
      </c>
      <c r="D254" s="358" t="s">
        <v>704</v>
      </c>
      <c r="E254" s="359">
        <v>1</v>
      </c>
      <c r="F254" s="365">
        <f t="shared" si="11"/>
        <v>1511706.54</v>
      </c>
      <c r="G254" s="360">
        <f>НМЦК!K260</f>
        <v>1511706.54</v>
      </c>
      <c r="H254" s="365"/>
      <c r="I254" s="365"/>
    </row>
    <row r="255" spans="1:9" ht="17.25" hidden="1" customHeight="1" outlineLevel="1" x14ac:dyDescent="0.2">
      <c r="A255" s="375" t="s">
        <v>1170</v>
      </c>
      <c r="B255" s="375"/>
      <c r="C255" s="376" t="s">
        <v>404</v>
      </c>
      <c r="D255" s="358" t="s">
        <v>704</v>
      </c>
      <c r="E255" s="359">
        <v>1</v>
      </c>
      <c r="F255" s="365">
        <f t="shared" si="11"/>
        <v>6527915.4400000004</v>
      </c>
      <c r="G255" s="360">
        <f>НМЦК!K261</f>
        <v>6527915.4400000004</v>
      </c>
      <c r="H255" s="365"/>
      <c r="I255" s="365"/>
    </row>
    <row r="256" spans="1:9" s="142" customFormat="1" ht="17.25" customHeight="1" collapsed="1" x14ac:dyDescent="0.2">
      <c r="A256" s="326" t="s">
        <v>1014</v>
      </c>
      <c r="B256" s="326" t="s">
        <v>274</v>
      </c>
      <c r="C256" s="327" t="s">
        <v>275</v>
      </c>
      <c r="D256" s="329" t="s">
        <v>704</v>
      </c>
      <c r="E256" s="330">
        <v>1</v>
      </c>
      <c r="F256" s="334">
        <f t="shared" si="11"/>
        <v>3991551.19</v>
      </c>
      <c r="G256" s="334">
        <f>НМЦК!K262</f>
        <v>3991551.19</v>
      </c>
      <c r="H256" s="334"/>
      <c r="I256" s="334"/>
    </row>
    <row r="257" spans="1:9" ht="24" hidden="1" customHeight="1" outlineLevel="1" x14ac:dyDescent="0.2">
      <c r="A257" s="375" t="s">
        <v>1171</v>
      </c>
      <c r="B257" s="380"/>
      <c r="C257" s="376" t="s">
        <v>405</v>
      </c>
      <c r="D257" s="371" t="s">
        <v>704</v>
      </c>
      <c r="E257" s="372">
        <v>1</v>
      </c>
      <c r="F257" s="365">
        <f t="shared" si="11"/>
        <v>2406119.29</v>
      </c>
      <c r="G257" s="360">
        <f>НМЦК!K263</f>
        <v>2406119.29</v>
      </c>
      <c r="H257" s="365"/>
      <c r="I257" s="377"/>
    </row>
    <row r="258" spans="1:9" ht="23.25" hidden="1" customHeight="1" outlineLevel="1" x14ac:dyDescent="0.2">
      <c r="A258" s="375" t="s">
        <v>1172</v>
      </c>
      <c r="B258" s="380"/>
      <c r="C258" s="376" t="s">
        <v>407</v>
      </c>
      <c r="D258" s="371" t="s">
        <v>704</v>
      </c>
      <c r="E258" s="372">
        <v>1</v>
      </c>
      <c r="F258" s="365">
        <f t="shared" si="11"/>
        <v>1309754.76</v>
      </c>
      <c r="G258" s="360">
        <f>НМЦК!K264</f>
        <v>1309754.76</v>
      </c>
      <c r="H258" s="365"/>
      <c r="I258" s="377"/>
    </row>
    <row r="259" spans="1:9" ht="35.25" hidden="1" customHeight="1" outlineLevel="1" x14ac:dyDescent="0.2">
      <c r="A259" s="375" t="s">
        <v>1173</v>
      </c>
      <c r="B259" s="375" t="s">
        <v>276</v>
      </c>
      <c r="C259" s="376" t="s">
        <v>277</v>
      </c>
      <c r="D259" s="371" t="s">
        <v>704</v>
      </c>
      <c r="E259" s="372">
        <v>1</v>
      </c>
      <c r="F259" s="365">
        <f t="shared" si="11"/>
        <v>275677.14</v>
      </c>
      <c r="G259" s="360">
        <f>НМЦК!K265</f>
        <v>275677.14</v>
      </c>
      <c r="H259" s="365"/>
      <c r="I259" s="377"/>
    </row>
    <row r="260" spans="1:9" s="145" customFormat="1" ht="31.5" collapsed="1" x14ac:dyDescent="0.2">
      <c r="A260" s="134" t="s">
        <v>686</v>
      </c>
      <c r="B260" s="134" t="s">
        <v>67</v>
      </c>
      <c r="C260" s="133" t="s">
        <v>68</v>
      </c>
      <c r="D260" s="120" t="s">
        <v>704</v>
      </c>
      <c r="E260" s="119">
        <v>1</v>
      </c>
      <c r="F260" s="150">
        <f t="shared" si="11"/>
        <v>10731222.82</v>
      </c>
      <c r="G260" s="150">
        <f>НМЦК!K266</f>
        <v>10731222.82</v>
      </c>
      <c r="H260" s="150"/>
      <c r="I260" s="150"/>
    </row>
    <row r="261" spans="1:9" s="142" customFormat="1" ht="27.75" customHeight="1" x14ac:dyDescent="0.2">
      <c r="A261" s="326" t="s">
        <v>1015</v>
      </c>
      <c r="B261" s="326" t="s">
        <v>280</v>
      </c>
      <c r="C261" s="327" t="s">
        <v>281</v>
      </c>
      <c r="D261" s="329" t="s">
        <v>704</v>
      </c>
      <c r="E261" s="330">
        <v>1</v>
      </c>
      <c r="F261" s="334">
        <f t="shared" si="11"/>
        <v>7569298.3300000001</v>
      </c>
      <c r="G261" s="334">
        <f>НМЦК!K267</f>
        <v>7569298.3300000001</v>
      </c>
      <c r="H261" s="334"/>
      <c r="I261" s="334"/>
    </row>
    <row r="262" spans="1:9" s="143" customFormat="1" ht="36" hidden="1" customHeight="1" outlineLevel="1" x14ac:dyDescent="0.2">
      <c r="A262" s="375" t="s">
        <v>1174</v>
      </c>
      <c r="B262" s="375"/>
      <c r="C262" s="376" t="s">
        <v>399</v>
      </c>
      <c r="D262" s="358" t="s">
        <v>704</v>
      </c>
      <c r="E262" s="359">
        <v>1</v>
      </c>
      <c r="F262" s="365">
        <f t="shared" si="11"/>
        <v>4632106.45</v>
      </c>
      <c r="G262" s="360">
        <f>НМЦК!K268</f>
        <v>4632106.45</v>
      </c>
      <c r="H262" s="365"/>
      <c r="I262" s="365"/>
    </row>
    <row r="263" spans="1:9" s="143" customFormat="1" ht="35.25" hidden="1" customHeight="1" outlineLevel="1" x14ac:dyDescent="0.2">
      <c r="A263" s="375" t="s">
        <v>1175</v>
      </c>
      <c r="B263" s="375"/>
      <c r="C263" s="376" t="s">
        <v>401</v>
      </c>
      <c r="D263" s="358" t="s">
        <v>704</v>
      </c>
      <c r="E263" s="359">
        <v>1</v>
      </c>
      <c r="F263" s="365">
        <f t="shared" si="11"/>
        <v>2021536.23</v>
      </c>
      <c r="G263" s="360">
        <f>НМЦК!K269</f>
        <v>2021536.23</v>
      </c>
      <c r="H263" s="365"/>
      <c r="I263" s="365"/>
    </row>
    <row r="264" spans="1:9" s="143" customFormat="1" ht="33.75" hidden="1" customHeight="1" outlineLevel="1" x14ac:dyDescent="0.2">
      <c r="A264" s="375" t="s">
        <v>1176</v>
      </c>
      <c r="B264" s="375"/>
      <c r="C264" s="376" t="s">
        <v>404</v>
      </c>
      <c r="D264" s="358" t="s">
        <v>704</v>
      </c>
      <c r="E264" s="359">
        <v>1</v>
      </c>
      <c r="F264" s="365">
        <f t="shared" si="11"/>
        <v>915655.66</v>
      </c>
      <c r="G264" s="360">
        <f>НМЦК!K270</f>
        <v>915655.66</v>
      </c>
      <c r="H264" s="365"/>
      <c r="I264" s="365"/>
    </row>
    <row r="265" spans="1:9" s="142" customFormat="1" ht="17.25" customHeight="1" collapsed="1" x14ac:dyDescent="0.2">
      <c r="A265" s="326" t="s">
        <v>1016</v>
      </c>
      <c r="B265" s="326" t="s">
        <v>282</v>
      </c>
      <c r="C265" s="327" t="s">
        <v>283</v>
      </c>
      <c r="D265" s="329" t="s">
        <v>704</v>
      </c>
      <c r="E265" s="330">
        <v>1</v>
      </c>
      <c r="F265" s="334">
        <f t="shared" si="11"/>
        <v>3161924.49</v>
      </c>
      <c r="G265" s="334">
        <f>НМЦК!K271</f>
        <v>3161924.49</v>
      </c>
      <c r="H265" s="334"/>
      <c r="I265" s="334"/>
    </row>
    <row r="266" spans="1:9" s="143" customFormat="1" ht="18.75" hidden="1" customHeight="1" outlineLevel="1" x14ac:dyDescent="0.2">
      <c r="A266" s="375" t="s">
        <v>1177</v>
      </c>
      <c r="B266" s="375"/>
      <c r="C266" s="376" t="s">
        <v>405</v>
      </c>
      <c r="D266" s="358" t="s">
        <v>704</v>
      </c>
      <c r="E266" s="359">
        <v>1</v>
      </c>
      <c r="F266" s="365">
        <f t="shared" si="11"/>
        <v>1929355.48</v>
      </c>
      <c r="G266" s="360">
        <f>НМЦК!K272</f>
        <v>1929355.48</v>
      </c>
      <c r="H266" s="502"/>
      <c r="I266" s="378"/>
    </row>
    <row r="267" spans="1:9" s="143" customFormat="1" ht="21" hidden="1" customHeight="1" outlineLevel="1" x14ac:dyDescent="0.2">
      <c r="A267" s="375" t="s">
        <v>1178</v>
      </c>
      <c r="B267" s="375"/>
      <c r="C267" s="376" t="s">
        <v>407</v>
      </c>
      <c r="D267" s="358" t="s">
        <v>704</v>
      </c>
      <c r="E267" s="359">
        <v>1</v>
      </c>
      <c r="F267" s="365">
        <f t="shared" si="11"/>
        <v>1016102.87</v>
      </c>
      <c r="G267" s="360">
        <f>НМЦК!K273</f>
        <v>1016102.87</v>
      </c>
      <c r="H267" s="365"/>
      <c r="I267" s="378"/>
    </row>
    <row r="268" spans="1:9" ht="32.25" hidden="1" customHeight="1" outlineLevel="1" x14ac:dyDescent="0.2">
      <c r="A268" s="375" t="s">
        <v>1179</v>
      </c>
      <c r="B268" s="375" t="s">
        <v>284</v>
      </c>
      <c r="C268" s="376" t="s">
        <v>285</v>
      </c>
      <c r="D268" s="358" t="s">
        <v>704</v>
      </c>
      <c r="E268" s="359">
        <v>1</v>
      </c>
      <c r="F268" s="365">
        <f t="shared" si="11"/>
        <v>216466.15</v>
      </c>
      <c r="G268" s="360">
        <f>НМЦК!K274</f>
        <v>216466.15</v>
      </c>
      <c r="H268" s="365"/>
      <c r="I268" s="378"/>
    </row>
    <row r="269" spans="1:9" s="145" customFormat="1" ht="36.75" customHeight="1" collapsed="1" x14ac:dyDescent="0.2">
      <c r="A269" s="134" t="s">
        <v>687</v>
      </c>
      <c r="B269" s="134" t="s">
        <v>84</v>
      </c>
      <c r="C269" s="133" t="s">
        <v>641</v>
      </c>
      <c r="D269" s="319" t="s">
        <v>704</v>
      </c>
      <c r="E269" s="320">
        <v>1</v>
      </c>
      <c r="F269" s="181">
        <f t="shared" si="11"/>
        <v>74480.13</v>
      </c>
      <c r="G269" s="181">
        <f>НМЦК!K275</f>
        <v>74480.13</v>
      </c>
      <c r="H269" s="181"/>
      <c r="I269" s="181"/>
    </row>
    <row r="270" spans="1:9" s="145" customFormat="1" ht="36.75" customHeight="1" x14ac:dyDescent="0.2">
      <c r="A270" s="134" t="s">
        <v>688</v>
      </c>
      <c r="B270" s="134" t="s">
        <v>86</v>
      </c>
      <c r="C270" s="133" t="s">
        <v>87</v>
      </c>
      <c r="D270" s="319" t="s">
        <v>704</v>
      </c>
      <c r="E270" s="320">
        <v>1</v>
      </c>
      <c r="F270" s="181">
        <f t="shared" si="11"/>
        <v>667585.63</v>
      </c>
      <c r="G270" s="181">
        <f>НМЦК!K276</f>
        <v>667585.63</v>
      </c>
      <c r="H270" s="181"/>
      <c r="I270" s="181"/>
    </row>
    <row r="271" spans="1:9" s="145" customFormat="1" ht="36.75" customHeight="1" x14ac:dyDescent="0.2">
      <c r="A271" s="134" t="s">
        <v>695</v>
      </c>
      <c r="B271" s="134" t="s">
        <v>88</v>
      </c>
      <c r="C271" s="133" t="s">
        <v>89</v>
      </c>
      <c r="D271" s="319" t="s">
        <v>704</v>
      </c>
      <c r="E271" s="320">
        <v>1</v>
      </c>
      <c r="F271" s="181">
        <f t="shared" si="11"/>
        <v>243940696.40000001</v>
      </c>
      <c r="G271" s="181">
        <f>НМЦК!K277</f>
        <v>243940696.40000001</v>
      </c>
      <c r="H271" s="181"/>
      <c r="I271" s="181"/>
    </row>
    <row r="272" spans="1:9" s="145" customFormat="1" ht="36.75" hidden="1" customHeight="1" outlineLevel="1" x14ac:dyDescent="0.2">
      <c r="A272" s="326"/>
      <c r="B272" s="326"/>
      <c r="C272" s="477" t="s">
        <v>762</v>
      </c>
      <c r="D272" s="329"/>
      <c r="E272" s="330"/>
      <c r="F272" s="334"/>
      <c r="G272" s="334"/>
      <c r="H272" s="334"/>
      <c r="I272" s="334"/>
    </row>
    <row r="273" spans="1:9" s="145" customFormat="1" ht="48.75" hidden="1" customHeight="1" outlineLevel="1" x14ac:dyDescent="0.2">
      <c r="A273" s="326" t="s">
        <v>1113</v>
      </c>
      <c r="B273" s="326"/>
      <c r="C273" s="477" t="s">
        <v>1077</v>
      </c>
      <c r="D273" s="329" t="s">
        <v>704</v>
      </c>
      <c r="E273" s="330">
        <v>1</v>
      </c>
      <c r="F273" s="334">
        <f t="shared" si="11"/>
        <v>113268703.52</v>
      </c>
      <c r="G273" s="334">
        <f>НМЦК!K279</f>
        <v>113268703.52</v>
      </c>
      <c r="H273" s="334"/>
      <c r="I273" s="334"/>
    </row>
    <row r="274" spans="1:9" s="145" customFormat="1" ht="36.75" hidden="1" customHeight="1" outlineLevel="1" x14ac:dyDescent="0.2">
      <c r="A274" s="326" t="s">
        <v>1114</v>
      </c>
      <c r="B274" s="326"/>
      <c r="C274" s="477" t="s">
        <v>1076</v>
      </c>
      <c r="D274" s="329" t="s">
        <v>704</v>
      </c>
      <c r="E274" s="330">
        <v>1</v>
      </c>
      <c r="F274" s="334">
        <f t="shared" si="11"/>
        <v>130671992.88</v>
      </c>
      <c r="G274" s="334">
        <f>НМЦК!K280</f>
        <v>130671992.88</v>
      </c>
      <c r="H274" s="334"/>
      <c r="I274" s="334"/>
    </row>
    <row r="275" spans="1:9" s="145" customFormat="1" ht="31.5" collapsed="1" x14ac:dyDescent="0.2">
      <c r="A275" s="134" t="s">
        <v>696</v>
      </c>
      <c r="B275" s="134" t="s">
        <v>90</v>
      </c>
      <c r="C275" s="133" t="s">
        <v>91</v>
      </c>
      <c r="D275" s="319" t="s">
        <v>704</v>
      </c>
      <c r="E275" s="320">
        <v>1</v>
      </c>
      <c r="F275" s="181">
        <f t="shared" si="11"/>
        <v>7710050.0899999999</v>
      </c>
      <c r="G275" s="181">
        <f>НМЦК!K281</f>
        <v>7710050.0899999999</v>
      </c>
      <c r="H275" s="181"/>
      <c r="I275" s="181"/>
    </row>
    <row r="276" spans="1:9" s="145" customFormat="1" ht="24.75" customHeight="1" x14ac:dyDescent="0.2">
      <c r="A276" s="134" t="s">
        <v>697</v>
      </c>
      <c r="B276" s="134" t="s">
        <v>92</v>
      </c>
      <c r="C276" s="133" t="s">
        <v>642</v>
      </c>
      <c r="D276" s="319" t="s">
        <v>704</v>
      </c>
      <c r="E276" s="320">
        <v>1</v>
      </c>
      <c r="F276" s="181">
        <f t="shared" si="11"/>
        <v>63483800.25</v>
      </c>
      <c r="G276" s="181">
        <f>НМЦК!K282</f>
        <v>63483800.25</v>
      </c>
      <c r="H276" s="181"/>
      <c r="I276" s="181"/>
    </row>
    <row r="277" spans="1:9" s="145" customFormat="1" ht="23.25" customHeight="1" x14ac:dyDescent="0.2">
      <c r="A277" s="134" t="s">
        <v>698</v>
      </c>
      <c r="B277" s="134" t="s">
        <v>94</v>
      </c>
      <c r="C277" s="133" t="s">
        <v>95</v>
      </c>
      <c r="D277" s="319" t="s">
        <v>704</v>
      </c>
      <c r="E277" s="320">
        <v>1</v>
      </c>
      <c r="F277" s="181">
        <f t="shared" si="11"/>
        <v>5235086.67</v>
      </c>
      <c r="G277" s="181">
        <f>НМЦК!K283</f>
        <v>5235086.67</v>
      </c>
      <c r="H277" s="181"/>
      <c r="I277" s="181"/>
    </row>
    <row r="278" spans="1:9" s="145" customFormat="1" ht="39" customHeight="1" x14ac:dyDescent="0.2">
      <c r="A278" s="134" t="s">
        <v>1062</v>
      </c>
      <c r="B278" s="134" t="s">
        <v>96</v>
      </c>
      <c r="C278" s="133" t="s">
        <v>643</v>
      </c>
      <c r="D278" s="319" t="s">
        <v>704</v>
      </c>
      <c r="E278" s="320">
        <v>1</v>
      </c>
      <c r="F278" s="181">
        <f t="shared" si="11"/>
        <v>168854.77</v>
      </c>
      <c r="G278" s="181">
        <f>НМЦК!K284</f>
        <v>168854.77</v>
      </c>
      <c r="H278" s="181"/>
      <c r="I278" s="181"/>
    </row>
    <row r="279" spans="1:9" s="145" customFormat="1" ht="38.25" customHeight="1" x14ac:dyDescent="0.2">
      <c r="A279" s="134" t="s">
        <v>1063</v>
      </c>
      <c r="B279" s="134" t="s">
        <v>98</v>
      </c>
      <c r="C279" s="133" t="s">
        <v>644</v>
      </c>
      <c r="D279" s="319" t="s">
        <v>704</v>
      </c>
      <c r="E279" s="320">
        <v>1</v>
      </c>
      <c r="F279" s="181">
        <f t="shared" si="11"/>
        <v>6618789.7300000004</v>
      </c>
      <c r="G279" s="181">
        <f>НМЦК!K285</f>
        <v>6618789.7300000004</v>
      </c>
      <c r="H279" s="181"/>
      <c r="I279" s="181"/>
    </row>
    <row r="280" spans="1:9" s="145" customFormat="1" ht="38.25" customHeight="1" x14ac:dyDescent="0.2">
      <c r="A280" s="134" t="s">
        <v>1064</v>
      </c>
      <c r="B280" s="134" t="s">
        <v>118</v>
      </c>
      <c r="C280" s="429" t="s">
        <v>1061</v>
      </c>
      <c r="D280" s="319" t="s">
        <v>704</v>
      </c>
      <c r="E280" s="320">
        <v>1</v>
      </c>
      <c r="F280" s="181">
        <f t="shared" si="11"/>
        <v>29762776.640000001</v>
      </c>
      <c r="G280" s="181">
        <f>НМЦК!K286</f>
        <v>29762776.640000001</v>
      </c>
      <c r="H280" s="181"/>
      <c r="I280" s="181">
        <f>(I10+I20+I71+I120+I186+I213+I219+I230)*0.02</f>
        <v>1958257.26</v>
      </c>
    </row>
    <row r="281" spans="1:9" ht="22.5" customHeight="1" collapsed="1" x14ac:dyDescent="0.2">
      <c r="A281" s="182">
        <v>3</v>
      </c>
      <c r="B281" s="189"/>
      <c r="C281" s="183" t="s">
        <v>693</v>
      </c>
      <c r="D281" s="187" t="s">
        <v>704</v>
      </c>
      <c r="E281" s="188">
        <v>1</v>
      </c>
      <c r="F281" s="184">
        <f t="shared" si="11"/>
        <v>14972742.300000001</v>
      </c>
      <c r="G281" s="184">
        <f>НМЦК!K287</f>
        <v>14972742.300000001</v>
      </c>
      <c r="H281" s="184"/>
      <c r="I281" s="184"/>
    </row>
    <row r="282" spans="1:9" s="145" customFormat="1" ht="31.5" x14ac:dyDescent="0.2">
      <c r="A282" s="134" t="s">
        <v>636</v>
      </c>
      <c r="B282" s="134" t="s">
        <v>80</v>
      </c>
      <c r="C282" s="133" t="s">
        <v>81</v>
      </c>
      <c r="D282" s="120" t="s">
        <v>704</v>
      </c>
      <c r="E282" s="119">
        <v>1</v>
      </c>
      <c r="F282" s="150">
        <f t="shared" si="11"/>
        <v>8529851.0700000003</v>
      </c>
      <c r="G282" s="150">
        <f>НМЦК!K288</f>
        <v>8529851.0700000003</v>
      </c>
      <c r="H282" s="150"/>
      <c r="I282" s="150"/>
    </row>
    <row r="283" spans="1:9" s="146" customFormat="1" ht="31.5" x14ac:dyDescent="0.2">
      <c r="A283" s="132" t="s">
        <v>690</v>
      </c>
      <c r="B283" s="132" t="s">
        <v>286</v>
      </c>
      <c r="C283" s="121" t="s">
        <v>287</v>
      </c>
      <c r="D283" s="120" t="s">
        <v>704</v>
      </c>
      <c r="E283" s="119">
        <v>1</v>
      </c>
      <c r="F283" s="176">
        <f t="shared" si="11"/>
        <v>7659529.2400000002</v>
      </c>
      <c r="G283" s="176">
        <f>НМЦК!K289</f>
        <v>7659529.2400000002</v>
      </c>
      <c r="H283" s="176"/>
      <c r="I283" s="176"/>
    </row>
    <row r="284" spans="1:9" s="146" customFormat="1" ht="31.5" x14ac:dyDescent="0.2">
      <c r="A284" s="132" t="s">
        <v>689</v>
      </c>
      <c r="B284" s="132" t="s">
        <v>288</v>
      </c>
      <c r="C284" s="121" t="s">
        <v>289</v>
      </c>
      <c r="D284" s="120" t="s">
        <v>704</v>
      </c>
      <c r="E284" s="119">
        <v>1</v>
      </c>
      <c r="F284" s="176">
        <f t="shared" si="11"/>
        <v>585045.6</v>
      </c>
      <c r="G284" s="176">
        <f>НМЦК!K290</f>
        <v>585045.6</v>
      </c>
      <c r="H284" s="176"/>
      <c r="I284" s="176"/>
    </row>
    <row r="285" spans="1:9" s="146" customFormat="1" ht="31.5" x14ac:dyDescent="0.2">
      <c r="A285" s="132" t="s">
        <v>691</v>
      </c>
      <c r="B285" s="132" t="s">
        <v>290</v>
      </c>
      <c r="C285" s="121" t="s">
        <v>291</v>
      </c>
      <c r="D285" s="120" t="s">
        <v>704</v>
      </c>
      <c r="E285" s="119">
        <v>1</v>
      </c>
      <c r="F285" s="176">
        <f t="shared" si="11"/>
        <v>285276.23</v>
      </c>
      <c r="G285" s="176">
        <f>НМЦК!K291</f>
        <v>285276.23</v>
      </c>
      <c r="H285" s="176"/>
      <c r="I285" s="176"/>
    </row>
    <row r="286" spans="1:9" s="145" customFormat="1" ht="31.5" x14ac:dyDescent="0.2">
      <c r="A286" s="134" t="s">
        <v>637</v>
      </c>
      <c r="B286" s="134" t="s">
        <v>82</v>
      </c>
      <c r="C286" s="133" t="s">
        <v>83</v>
      </c>
      <c r="D286" s="120" t="s">
        <v>704</v>
      </c>
      <c r="E286" s="119">
        <v>1</v>
      </c>
      <c r="F286" s="150">
        <f t="shared" si="11"/>
        <v>6149308.0499999998</v>
      </c>
      <c r="G286" s="150">
        <f>НМЦК!K292</f>
        <v>6149308.0499999998</v>
      </c>
      <c r="H286" s="150"/>
      <c r="I286" s="150"/>
    </row>
    <row r="287" spans="1:9" s="146" customFormat="1" ht="31.5" x14ac:dyDescent="0.2">
      <c r="A287" s="132" t="s">
        <v>638</v>
      </c>
      <c r="B287" s="132" t="s">
        <v>295</v>
      </c>
      <c r="C287" s="121" t="s">
        <v>296</v>
      </c>
      <c r="D287" s="120" t="s">
        <v>704</v>
      </c>
      <c r="E287" s="119">
        <v>1</v>
      </c>
      <c r="F287" s="176">
        <f t="shared" si="11"/>
        <v>5326134.7699999996</v>
      </c>
      <c r="G287" s="176">
        <f>НМЦК!K293</f>
        <v>5326134.7699999996</v>
      </c>
      <c r="H287" s="176"/>
      <c r="I287" s="176"/>
    </row>
    <row r="288" spans="1:9" s="148" customFormat="1" ht="31.5" x14ac:dyDescent="0.2">
      <c r="A288" s="132" t="s">
        <v>639</v>
      </c>
      <c r="B288" s="132" t="s">
        <v>297</v>
      </c>
      <c r="C288" s="147" t="s">
        <v>298</v>
      </c>
      <c r="D288" s="120" t="s">
        <v>704</v>
      </c>
      <c r="E288" s="119">
        <v>1</v>
      </c>
      <c r="F288" s="176">
        <f t="shared" si="11"/>
        <v>585045.6</v>
      </c>
      <c r="G288" s="176">
        <f>НМЦК!K294</f>
        <v>585045.6</v>
      </c>
      <c r="H288" s="176"/>
      <c r="I288" s="176"/>
    </row>
    <row r="289" spans="1:9" s="148" customFormat="1" ht="31.5" x14ac:dyDescent="0.2">
      <c r="A289" s="132" t="s">
        <v>640</v>
      </c>
      <c r="B289" s="132" t="s">
        <v>299</v>
      </c>
      <c r="C289" s="147" t="s">
        <v>300</v>
      </c>
      <c r="D289" s="120" t="s">
        <v>704</v>
      </c>
      <c r="E289" s="119">
        <v>1</v>
      </c>
      <c r="F289" s="176">
        <f t="shared" si="11"/>
        <v>238127.68</v>
      </c>
      <c r="G289" s="176">
        <f>НМЦК!K295</f>
        <v>238127.68</v>
      </c>
      <c r="H289" s="176"/>
      <c r="I289" s="176"/>
    </row>
    <row r="290" spans="1:9" s="148" customFormat="1" ht="30.75" customHeight="1" x14ac:dyDescent="0.2">
      <c r="A290" s="134" t="s">
        <v>1065</v>
      </c>
      <c r="B290" s="134" t="s">
        <v>118</v>
      </c>
      <c r="C290" s="429" t="s">
        <v>1061</v>
      </c>
      <c r="D290" s="319" t="s">
        <v>704</v>
      </c>
      <c r="E290" s="320">
        <v>1</v>
      </c>
      <c r="F290" s="181">
        <f t="shared" si="11"/>
        <v>293583.18</v>
      </c>
      <c r="G290" s="181">
        <f>НМЦК!K296</f>
        <v>293583.18</v>
      </c>
      <c r="H290" s="181"/>
      <c r="I290" s="181"/>
    </row>
    <row r="291" spans="1:9" customFormat="1" x14ac:dyDescent="0.25">
      <c r="A291" s="152"/>
      <c r="B291" s="152"/>
      <c r="C291" s="153" t="s">
        <v>645</v>
      </c>
      <c r="D291" s="153"/>
      <c r="E291" s="153"/>
      <c r="F291" s="154">
        <f>F6+F9+F281</f>
        <v>1582298719.8</v>
      </c>
      <c r="G291" s="154">
        <f>G6+G9+G281</f>
        <v>1582298719.8</v>
      </c>
      <c r="H291" s="154">
        <f>H6+H9+H281</f>
        <v>99871120.219999999</v>
      </c>
      <c r="I291" s="154">
        <f>I6+I9+I281</f>
        <v>99871120.219999999</v>
      </c>
    </row>
    <row r="292" spans="1:9" customFormat="1" x14ac:dyDescent="0.25">
      <c r="A292" s="157"/>
      <c r="B292" s="157"/>
      <c r="C292" s="153" t="s">
        <v>646</v>
      </c>
      <c r="D292" s="153"/>
      <c r="E292" s="153"/>
      <c r="F292" s="154">
        <f>F291*0.2</f>
        <v>316459743.95999998</v>
      </c>
      <c r="G292" s="154">
        <f>G291*0.2</f>
        <v>316459743.95999998</v>
      </c>
      <c r="H292" s="154">
        <f>H291*0.2</f>
        <v>19974224.039999999</v>
      </c>
      <c r="I292" s="154">
        <f>I291*0.2</f>
        <v>19974224.039999999</v>
      </c>
    </row>
    <row r="293" spans="1:9" customFormat="1" x14ac:dyDescent="0.25">
      <c r="A293" s="157"/>
      <c r="B293" s="157"/>
      <c r="C293" s="153" t="s">
        <v>647</v>
      </c>
      <c r="D293" s="153"/>
      <c r="E293" s="153"/>
      <c r="F293" s="154">
        <f>F291+F292</f>
        <v>1898758463.76</v>
      </c>
      <c r="G293" s="154">
        <f>G291+G292</f>
        <v>1898758463.76</v>
      </c>
      <c r="H293" s="154">
        <f>H291+H292</f>
        <v>119845344.26000001</v>
      </c>
      <c r="I293" s="154">
        <f>I291+I292</f>
        <v>119845344.26000001</v>
      </c>
    </row>
    <row r="294" spans="1:9" hidden="1" x14ac:dyDescent="0.2"/>
    <row r="295" spans="1:9" hidden="1" x14ac:dyDescent="0.2"/>
    <row r="296" spans="1:9" hidden="1" x14ac:dyDescent="0.2"/>
    <row r="297" spans="1:9" ht="46.5" hidden="1" customHeight="1" x14ac:dyDescent="0.2">
      <c r="A297" s="645" t="s">
        <v>1091</v>
      </c>
      <c r="B297" s="645"/>
      <c r="C297" s="645"/>
      <c r="D297" s="645"/>
      <c r="E297" s="645"/>
      <c r="F297" s="508"/>
      <c r="G297" s="508"/>
      <c r="H297" s="508"/>
      <c r="I297" s="508"/>
    </row>
    <row r="298" spans="1:9" ht="31.5" hidden="1" customHeight="1" x14ac:dyDescent="0.25">
      <c r="C298" s="471"/>
      <c r="D298" s="472"/>
      <c r="E298" s="472"/>
      <c r="F298" s="509"/>
      <c r="G298" s="509"/>
      <c r="H298" s="509"/>
      <c r="I298" s="510"/>
    </row>
    <row r="299" spans="1:9" ht="15.75" hidden="1" customHeight="1" x14ac:dyDescent="0.25">
      <c r="A299" s="646" t="s">
        <v>1072</v>
      </c>
      <c r="B299" s="646"/>
      <c r="C299" s="646"/>
      <c r="D299" s="646"/>
      <c r="E299" s="646"/>
      <c r="F299" s="509"/>
      <c r="G299" s="509"/>
      <c r="H299" s="509"/>
      <c r="I299" s="510"/>
    </row>
    <row r="300" spans="1:9" hidden="1" x14ac:dyDescent="0.2">
      <c r="A300" s="643" t="s">
        <v>1073</v>
      </c>
      <c r="B300" s="643"/>
      <c r="C300" s="643"/>
      <c r="D300" s="643"/>
      <c r="E300" s="643"/>
      <c r="F300" s="509"/>
      <c r="G300" s="509"/>
      <c r="H300" s="509"/>
      <c r="I300" s="510"/>
    </row>
    <row r="301" spans="1:9" hidden="1" x14ac:dyDescent="0.25">
      <c r="A301" s="603" t="s">
        <v>1074</v>
      </c>
      <c r="B301" s="603"/>
      <c r="C301" s="603"/>
      <c r="D301" s="603"/>
      <c r="E301" s="603"/>
      <c r="F301" s="509"/>
      <c r="G301" s="509"/>
      <c r="H301" s="509"/>
      <c r="I301" s="508"/>
    </row>
    <row r="302" spans="1:9" hidden="1" x14ac:dyDescent="0.2">
      <c r="A302" s="643" t="s">
        <v>1075</v>
      </c>
      <c r="B302" s="643"/>
      <c r="C302" s="643"/>
      <c r="D302" s="643"/>
      <c r="E302" s="643"/>
      <c r="F302" s="509"/>
      <c r="G302" s="509"/>
      <c r="H302" s="509"/>
      <c r="I302" s="508"/>
    </row>
    <row r="303" spans="1:9" hidden="1" x14ac:dyDescent="0.2">
      <c r="F303" s="509"/>
      <c r="G303" s="509"/>
      <c r="H303" s="509"/>
      <c r="I303" s="510"/>
    </row>
    <row r="304" spans="1:9" ht="15.75" hidden="1" customHeight="1" x14ac:dyDescent="0.2">
      <c r="A304" s="644" t="s">
        <v>1078</v>
      </c>
      <c r="B304" s="644"/>
      <c r="C304" s="644"/>
      <c r="D304" s="644"/>
      <c r="E304" s="644"/>
      <c r="F304" s="508"/>
      <c r="G304" s="508"/>
      <c r="H304" s="508"/>
      <c r="I304" s="508"/>
    </row>
    <row r="305" spans="1:9" hidden="1" x14ac:dyDescent="0.2">
      <c r="A305" s="644"/>
      <c r="B305" s="644"/>
      <c r="C305" s="644"/>
      <c r="D305" s="644"/>
      <c r="E305" s="644"/>
      <c r="F305" s="508"/>
      <c r="G305" s="508"/>
      <c r="H305" s="508"/>
      <c r="I305" s="508"/>
    </row>
    <row r="306" spans="1:9" hidden="1" x14ac:dyDescent="0.2">
      <c r="A306" s="473"/>
      <c r="B306" s="473"/>
      <c r="C306" s="473"/>
      <c r="D306" s="473"/>
      <c r="E306" s="473"/>
    </row>
    <row r="307" spans="1:9" hidden="1" x14ac:dyDescent="0.2">
      <c r="A307" s="473"/>
      <c r="B307" s="473"/>
      <c r="C307" s="473"/>
      <c r="D307" s="473"/>
      <c r="E307" s="473"/>
    </row>
    <row r="308" spans="1:9" hidden="1" x14ac:dyDescent="0.2">
      <c r="A308" s="641" t="s">
        <v>1106</v>
      </c>
      <c r="B308" s="641"/>
      <c r="C308" s="641"/>
      <c r="D308" s="641"/>
      <c r="E308" s="641"/>
    </row>
    <row r="309" spans="1:9" hidden="1" x14ac:dyDescent="0.2">
      <c r="A309" s="641"/>
      <c r="B309" s="641"/>
      <c r="C309" s="641"/>
      <c r="D309" s="641"/>
      <c r="E309" s="641"/>
    </row>
    <row r="310" spans="1:9" ht="42" hidden="1" customHeight="1" x14ac:dyDescent="0.2">
      <c r="A310" s="642" t="s">
        <v>1105</v>
      </c>
      <c r="B310" s="642"/>
      <c r="C310" s="642"/>
      <c r="D310" s="642"/>
      <c r="E310" s="642"/>
    </row>
    <row r="311" spans="1:9" hidden="1" x14ac:dyDescent="0.25">
      <c r="A311" s="626" t="s">
        <v>1079</v>
      </c>
      <c r="B311" s="627"/>
      <c r="C311" s="627"/>
      <c r="D311" s="627"/>
      <c r="E311" s="628"/>
    </row>
    <row r="312" spans="1:9" hidden="1" x14ac:dyDescent="0.25">
      <c r="A312" s="626" t="s">
        <v>1080</v>
      </c>
      <c r="B312" s="627"/>
      <c r="C312" s="627"/>
      <c r="D312" s="627"/>
      <c r="E312" s="628"/>
    </row>
    <row r="313" spans="1:9" hidden="1" x14ac:dyDescent="0.25">
      <c r="A313" s="626" t="s">
        <v>1081</v>
      </c>
      <c r="B313" s="627"/>
      <c r="C313" s="627"/>
      <c r="D313" s="627"/>
      <c r="E313" s="628"/>
    </row>
    <row r="314" spans="1:9" hidden="1" x14ac:dyDescent="0.25">
      <c r="A314" s="626" t="s">
        <v>1082</v>
      </c>
      <c r="B314" s="627"/>
      <c r="C314" s="627"/>
      <c r="D314" s="627"/>
      <c r="E314" s="628"/>
    </row>
    <row r="315" spans="1:9" ht="15.75" hidden="1" customHeight="1" x14ac:dyDescent="0.25">
      <c r="A315" s="633" t="s">
        <v>1084</v>
      </c>
      <c r="B315" s="634"/>
      <c r="C315" s="634"/>
      <c r="D315" s="634"/>
      <c r="E315" s="635"/>
    </row>
    <row r="316" spans="1:9" hidden="1" x14ac:dyDescent="0.2">
      <c r="A316" s="636" t="s">
        <v>1085</v>
      </c>
      <c r="B316" s="637"/>
      <c r="C316" s="638"/>
      <c r="D316" s="494" t="e">
        <f>#REF!</f>
        <v>#REF!</v>
      </c>
      <c r="E316" s="495" t="s">
        <v>1086</v>
      </c>
    </row>
    <row r="317" spans="1:9" ht="15.75" hidden="1" customHeight="1" x14ac:dyDescent="0.25">
      <c r="A317" s="633" t="s">
        <v>1087</v>
      </c>
      <c r="B317" s="634"/>
      <c r="C317" s="634"/>
      <c r="D317" s="634"/>
      <c r="E317" s="635"/>
    </row>
    <row r="318" spans="1:9" hidden="1" x14ac:dyDescent="0.2">
      <c r="A318" s="636" t="s">
        <v>1088</v>
      </c>
      <c r="B318" s="637"/>
      <c r="C318" s="638"/>
      <c r="D318" s="494" t="e">
        <f>#REF!</f>
        <v>#REF!</v>
      </c>
      <c r="E318" s="495" t="s">
        <v>1086</v>
      </c>
    </row>
    <row r="319" spans="1:9" ht="15.75" hidden="1" customHeight="1" x14ac:dyDescent="0.2">
      <c r="A319" s="639" t="s">
        <v>1090</v>
      </c>
      <c r="B319" s="640"/>
      <c r="C319" s="623" t="e">
        <f>CONCATENATE(#REF!,"^",ROUND((#REF!-#REF!)/30.5,1),"*",#REF!,"^",ROUND((#REF!-#REF!)/30.5,1),"*","(",#REF!,"+",#REF!,"^",ROUND((#REF!-#REF!)/30.5,1),")/2")</f>
        <v>#REF!</v>
      </c>
      <c r="D319" s="624"/>
      <c r="E319" s="625"/>
    </row>
    <row r="320" spans="1:9" hidden="1" x14ac:dyDescent="0.2"/>
    <row r="321" spans="1:5" hidden="1" x14ac:dyDescent="0.2"/>
    <row r="322" spans="1:5" hidden="1" x14ac:dyDescent="0.2"/>
    <row r="323" spans="1:5" hidden="1" x14ac:dyDescent="0.2">
      <c r="A323" s="641" t="s">
        <v>1107</v>
      </c>
      <c r="B323" s="641"/>
      <c r="C323" s="641"/>
      <c r="D323" s="641"/>
      <c r="E323" s="641"/>
    </row>
    <row r="324" spans="1:5" hidden="1" x14ac:dyDescent="0.2">
      <c r="A324" s="641"/>
      <c r="B324" s="641"/>
      <c r="C324" s="641"/>
      <c r="D324" s="641"/>
      <c r="E324" s="641"/>
    </row>
    <row r="325" spans="1:5" ht="15.75" hidden="1" customHeight="1" x14ac:dyDescent="0.2">
      <c r="A325" s="642" t="s">
        <v>1105</v>
      </c>
      <c r="B325" s="642"/>
      <c r="C325" s="642"/>
      <c r="D325" s="642"/>
      <c r="E325" s="642"/>
    </row>
    <row r="326" spans="1:5" hidden="1" x14ac:dyDescent="0.2"/>
    <row r="327" spans="1:5" hidden="1" x14ac:dyDescent="0.25">
      <c r="A327" s="626" t="s">
        <v>1079</v>
      </c>
      <c r="B327" s="627"/>
      <c r="C327" s="627"/>
      <c r="D327" s="627"/>
      <c r="E327" s="628"/>
    </row>
    <row r="328" spans="1:5" hidden="1" x14ac:dyDescent="0.25">
      <c r="A328" s="626" t="s">
        <v>1080</v>
      </c>
      <c r="B328" s="627"/>
      <c r="C328" s="627"/>
      <c r="D328" s="627"/>
      <c r="E328" s="628"/>
    </row>
    <row r="329" spans="1:5" hidden="1" x14ac:dyDescent="0.25">
      <c r="A329" s="626" t="s">
        <v>1081</v>
      </c>
      <c r="B329" s="627"/>
      <c r="C329" s="627"/>
      <c r="D329" s="627"/>
      <c r="E329" s="628"/>
    </row>
    <row r="330" spans="1:5" hidden="1" x14ac:dyDescent="0.25">
      <c r="A330" s="626" t="s">
        <v>1082</v>
      </c>
      <c r="B330" s="627"/>
      <c r="C330" s="627"/>
      <c r="D330" s="627"/>
      <c r="E330" s="628"/>
    </row>
    <row r="331" spans="1:5" hidden="1" x14ac:dyDescent="0.2">
      <c r="A331" s="629" t="s">
        <v>1083</v>
      </c>
      <c r="B331" s="629"/>
      <c r="C331" s="629"/>
      <c r="D331" s="629"/>
      <c r="E331" s="630"/>
    </row>
    <row r="332" spans="1:5" hidden="1" x14ac:dyDescent="0.2">
      <c r="A332" s="631" t="s">
        <v>1108</v>
      </c>
      <c r="B332" s="631"/>
      <c r="C332" s="631"/>
      <c r="D332" s="631"/>
      <c r="E332" s="632"/>
    </row>
    <row r="333" spans="1:5" ht="15.75" hidden="1" customHeight="1" x14ac:dyDescent="0.25">
      <c r="A333" s="633" t="s">
        <v>1084</v>
      </c>
      <c r="B333" s="634"/>
      <c r="C333" s="634"/>
      <c r="D333" s="634"/>
      <c r="E333" s="635"/>
    </row>
    <row r="334" spans="1:5" hidden="1" x14ac:dyDescent="0.2">
      <c r="A334" s="636" t="s">
        <v>1085</v>
      </c>
      <c r="B334" s="637"/>
      <c r="C334" s="638"/>
      <c r="D334" s="494" t="e">
        <f>#REF!</f>
        <v>#REF!</v>
      </c>
      <c r="E334" s="495" t="s">
        <v>1086</v>
      </c>
    </row>
    <row r="335" spans="1:5" ht="15.75" hidden="1" customHeight="1" x14ac:dyDescent="0.25">
      <c r="A335" s="633" t="s">
        <v>1087</v>
      </c>
      <c r="B335" s="634"/>
      <c r="C335" s="634"/>
      <c r="D335" s="634"/>
      <c r="E335" s="635"/>
    </row>
    <row r="336" spans="1:5" hidden="1" x14ac:dyDescent="0.2">
      <c r="A336" s="636" t="s">
        <v>1088</v>
      </c>
      <c r="B336" s="637"/>
      <c r="C336" s="638"/>
      <c r="D336" s="494" t="e">
        <f>#REF!</f>
        <v>#REF!</v>
      </c>
      <c r="E336" s="495" t="s">
        <v>1086</v>
      </c>
    </row>
    <row r="337" spans="1:5" ht="15.75" hidden="1" customHeight="1" x14ac:dyDescent="0.25">
      <c r="A337" s="633" t="s">
        <v>1109</v>
      </c>
      <c r="B337" s="634"/>
      <c r="C337" s="634"/>
      <c r="D337" s="634"/>
      <c r="E337" s="635"/>
    </row>
    <row r="338" spans="1:5" hidden="1" x14ac:dyDescent="0.2">
      <c r="A338" s="636" t="s">
        <v>1110</v>
      </c>
      <c r="B338" s="637"/>
      <c r="C338" s="638"/>
      <c r="D338" s="494" t="e">
        <f>#REF!</f>
        <v>#REF!</v>
      </c>
      <c r="E338" s="495" t="s">
        <v>1086</v>
      </c>
    </row>
    <row r="339" spans="1:5" ht="15.75" hidden="1" customHeight="1" x14ac:dyDescent="0.2">
      <c r="A339" s="497" t="s">
        <v>1089</v>
      </c>
      <c r="B339" s="497"/>
      <c r="C339" s="623" t="e">
        <f>CONCATENATE(#REF!,"^",ROUND((#REF!-#REF!)/30.5,1),"*",#REF!,"^",ROUND((#REF!-#REF!)/30.5,1),"*","(",#REF!,"+",#REF!,"^",ROUND((#REF!-#REF!)/30.5,1),")/2")</f>
        <v>#REF!</v>
      </c>
      <c r="D339" s="624"/>
      <c r="E339" s="625"/>
    </row>
    <row r="340" spans="1:5" ht="15.75" hidden="1" customHeight="1" x14ac:dyDescent="0.2">
      <c r="A340" s="497" t="s">
        <v>1111</v>
      </c>
      <c r="B340" s="497"/>
      <c r="C340" s="623" t="e">
        <f>CONCATENATE(#REF!,"^",ROUND((#REF!-#REF!)/30.5,1),"*",#REF!,"^12*","(",#REF!,"+",#REF!,"^",ROUND((#REF!-#REF!)/30.5,0),")/2")</f>
        <v>#REF!</v>
      </c>
      <c r="D340" s="624"/>
      <c r="E340" s="625"/>
    </row>
    <row r="341" spans="1:5" ht="15.75" hidden="1" customHeight="1" x14ac:dyDescent="0.2">
      <c r="A341" s="639" t="s">
        <v>1090</v>
      </c>
      <c r="B341" s="640"/>
      <c r="C341" s="623" t="e">
        <f>CONCATENATE(#REF!,"*",#REF!,"+",#REF!,"*",#REF!)</f>
        <v>#REF!</v>
      </c>
      <c r="D341" s="624"/>
      <c r="E341" s="625"/>
    </row>
  </sheetData>
  <mergeCells count="44">
    <mergeCell ref="A297:E297"/>
    <mergeCell ref="A299:E299"/>
    <mergeCell ref="E3:E4"/>
    <mergeCell ref="D3:D4"/>
    <mergeCell ref="C3:C4"/>
    <mergeCell ref="A3:A4"/>
    <mergeCell ref="A325:E325"/>
    <mergeCell ref="A316:C316"/>
    <mergeCell ref="A300:E300"/>
    <mergeCell ref="A301:E301"/>
    <mergeCell ref="A302:E302"/>
    <mergeCell ref="A304:E305"/>
    <mergeCell ref="A308:E309"/>
    <mergeCell ref="A310:E310"/>
    <mergeCell ref="A311:E311"/>
    <mergeCell ref="A312:E312"/>
    <mergeCell ref="A313:E313"/>
    <mergeCell ref="A314:E314"/>
    <mergeCell ref="A315:E315"/>
    <mergeCell ref="C340:E340"/>
    <mergeCell ref="A341:B341"/>
    <mergeCell ref="C341:E341"/>
    <mergeCell ref="A333:E333"/>
    <mergeCell ref="A334:C334"/>
    <mergeCell ref="A335:E335"/>
    <mergeCell ref="A336:C336"/>
    <mergeCell ref="A337:E337"/>
    <mergeCell ref="A338:C338"/>
    <mergeCell ref="H3:I3"/>
    <mergeCell ref="G3:G4"/>
    <mergeCell ref="A1:I1"/>
    <mergeCell ref="C2:I2"/>
    <mergeCell ref="C339:E339"/>
    <mergeCell ref="A327:E327"/>
    <mergeCell ref="A328:E328"/>
    <mergeCell ref="A329:E329"/>
    <mergeCell ref="A330:E330"/>
    <mergeCell ref="A331:E331"/>
    <mergeCell ref="A332:E332"/>
    <mergeCell ref="A317:E317"/>
    <mergeCell ref="A318:C318"/>
    <mergeCell ref="A319:B319"/>
    <mergeCell ref="C319:E319"/>
    <mergeCell ref="A323:E324"/>
  </mergeCells>
  <printOptions gridLines="1"/>
  <pageMargins left="0.43307086614173229" right="0.23622047244094491" top="0.31496062992125984" bottom="0.31496062992125984" header="0.51181102362204722" footer="0.51181102362204722"/>
  <pageSetup paperSize="9" scale="76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7"/>
  <sheetViews>
    <sheetView showGridLines="0" topLeftCell="A272" zoomScale="85" zoomScaleNormal="85" workbookViewId="0">
      <selection activeCell="B2" sqref="B2:E2"/>
    </sheetView>
  </sheetViews>
  <sheetFormatPr defaultColWidth="8.85546875" defaultRowHeight="15.75" outlineLevelRow="2" x14ac:dyDescent="0.2"/>
  <cols>
    <col min="1" max="1" width="11.140625" style="70" customWidth="1"/>
    <col min="2" max="2" width="24.7109375" style="70" customWidth="1"/>
    <col min="3" max="3" width="66.5703125" style="149" customWidth="1"/>
    <col min="4" max="4" width="19.28515625" style="149" customWidth="1"/>
    <col min="5" max="5" width="22.140625" style="149" customWidth="1"/>
    <col min="6" max="106" width="9.140625" style="123" customWidth="1"/>
    <col min="107" max="16384" width="8.85546875" style="123"/>
  </cols>
  <sheetData>
    <row r="1" spans="1:5" ht="29.25" customHeight="1" x14ac:dyDescent="0.2">
      <c r="A1" s="604" t="s">
        <v>707</v>
      </c>
      <c r="B1" s="604"/>
      <c r="C1" s="604"/>
      <c r="D1" s="604"/>
      <c r="E1" s="604"/>
    </row>
    <row r="2" spans="1:5" ht="29.25" customHeight="1" x14ac:dyDescent="0.2">
      <c r="A2" s="108" t="s">
        <v>581</v>
      </c>
      <c r="B2" s="650" t="s">
        <v>12</v>
      </c>
      <c r="C2" s="651"/>
      <c r="D2" s="651"/>
      <c r="E2" s="651"/>
    </row>
    <row r="3" spans="1:5" ht="29.25" customHeight="1" thickBot="1" x14ac:dyDescent="0.25">
      <c r="A3" s="135"/>
      <c r="B3" s="135"/>
      <c r="C3" s="135"/>
      <c r="D3" s="135"/>
      <c r="E3" s="135"/>
    </row>
    <row r="4" spans="1:5" ht="184.9" customHeight="1" x14ac:dyDescent="0.2">
      <c r="A4" s="385" t="s">
        <v>15</v>
      </c>
      <c r="B4" s="386" t="s">
        <v>705</v>
      </c>
      <c r="C4" s="387" t="s">
        <v>692</v>
      </c>
      <c r="D4" s="388" t="s">
        <v>702</v>
      </c>
      <c r="E4" s="389" t="s">
        <v>703</v>
      </c>
    </row>
    <row r="5" spans="1:5" ht="16.5" thickBot="1" x14ac:dyDescent="0.25">
      <c r="A5" s="443">
        <v>1</v>
      </c>
      <c r="B5" s="444">
        <v>2</v>
      </c>
      <c r="C5" s="444">
        <v>3</v>
      </c>
      <c r="D5" s="444">
        <v>4</v>
      </c>
      <c r="E5" s="445">
        <v>5</v>
      </c>
    </row>
    <row r="6" spans="1:5" ht="22.15" customHeight="1" x14ac:dyDescent="0.2">
      <c r="A6" s="449">
        <v>1</v>
      </c>
      <c r="B6" s="450"/>
      <c r="C6" s="451" t="s">
        <v>592</v>
      </c>
      <c r="D6" s="451" t="s">
        <v>704</v>
      </c>
      <c r="E6" s="452">
        <v>1</v>
      </c>
    </row>
    <row r="7" spans="1:5" s="140" customFormat="1" ht="31.5" x14ac:dyDescent="0.2">
      <c r="A7" s="390" t="s">
        <v>452</v>
      </c>
      <c r="B7" s="345" t="s">
        <v>107</v>
      </c>
      <c r="C7" s="120" t="s">
        <v>593</v>
      </c>
      <c r="D7" s="120" t="s">
        <v>704</v>
      </c>
      <c r="E7" s="391">
        <v>1</v>
      </c>
    </row>
    <row r="8" spans="1:5" s="140" customFormat="1" ht="16.5" thickBot="1" x14ac:dyDescent="0.25">
      <c r="A8" s="453" t="s">
        <v>453</v>
      </c>
      <c r="B8" s="454" t="s">
        <v>118</v>
      </c>
      <c r="C8" s="120" t="s">
        <v>1061</v>
      </c>
      <c r="D8" s="120" t="s">
        <v>704</v>
      </c>
      <c r="E8" s="391">
        <v>1</v>
      </c>
    </row>
    <row r="9" spans="1:5" s="141" customFormat="1" ht="51" customHeight="1" x14ac:dyDescent="0.2">
      <c r="A9" s="440" t="s">
        <v>594</v>
      </c>
      <c r="B9" s="440"/>
      <c r="C9" s="441" t="s">
        <v>701</v>
      </c>
      <c r="D9" s="441" t="s">
        <v>704</v>
      </c>
      <c r="E9" s="442">
        <v>1</v>
      </c>
    </row>
    <row r="10" spans="1:5" ht="28.5" customHeight="1" x14ac:dyDescent="0.2">
      <c r="A10" s="127" t="s">
        <v>457</v>
      </c>
      <c r="B10" s="127"/>
      <c r="C10" s="128" t="s">
        <v>595</v>
      </c>
      <c r="D10" s="120" t="s">
        <v>704</v>
      </c>
      <c r="E10" s="391">
        <v>1</v>
      </c>
    </row>
    <row r="11" spans="1:5" s="142" customFormat="1" ht="27.75" customHeight="1" x14ac:dyDescent="0.2">
      <c r="A11" s="326" t="s">
        <v>596</v>
      </c>
      <c r="B11" s="346" t="s">
        <v>1018</v>
      </c>
      <c r="C11" s="327" t="s">
        <v>26</v>
      </c>
      <c r="D11" s="329" t="s">
        <v>704</v>
      </c>
      <c r="E11" s="392">
        <v>1</v>
      </c>
    </row>
    <row r="12" spans="1:5" s="143" customFormat="1" ht="35.25" hidden="1" customHeight="1" outlineLevel="1" x14ac:dyDescent="0.2">
      <c r="A12" s="375" t="s">
        <v>597</v>
      </c>
      <c r="B12" s="375"/>
      <c r="C12" s="376" t="s">
        <v>454</v>
      </c>
      <c r="D12" s="376"/>
      <c r="E12" s="393"/>
    </row>
    <row r="13" spans="1:5" s="143" customFormat="1" ht="39.75" hidden="1" customHeight="1" outlineLevel="1" x14ac:dyDescent="0.2">
      <c r="A13" s="375" t="s">
        <v>598</v>
      </c>
      <c r="B13" s="375"/>
      <c r="C13" s="376" t="s">
        <v>455</v>
      </c>
      <c r="D13" s="376"/>
      <c r="E13" s="393"/>
    </row>
    <row r="14" spans="1:5" s="142" customFormat="1" ht="28.5" customHeight="1" collapsed="1" x14ac:dyDescent="0.2">
      <c r="A14" s="326" t="s">
        <v>599</v>
      </c>
      <c r="B14" s="346" t="s">
        <v>1019</v>
      </c>
      <c r="C14" s="327" t="s">
        <v>700</v>
      </c>
      <c r="D14" s="329" t="s">
        <v>704</v>
      </c>
      <c r="E14" s="392">
        <v>1</v>
      </c>
    </row>
    <row r="15" spans="1:5" s="143" customFormat="1" ht="21.75" hidden="1" customHeight="1" outlineLevel="1" x14ac:dyDescent="0.2">
      <c r="A15" s="375" t="s">
        <v>600</v>
      </c>
      <c r="B15" s="375"/>
      <c r="C15" s="376" t="s">
        <v>456</v>
      </c>
      <c r="D15" s="376"/>
      <c r="E15" s="393"/>
    </row>
    <row r="16" spans="1:5" s="143" customFormat="1" ht="27.75" hidden="1" customHeight="1" outlineLevel="1" x14ac:dyDescent="0.2">
      <c r="A16" s="375" t="s">
        <v>601</v>
      </c>
      <c r="B16" s="375"/>
      <c r="C16" s="376" t="s">
        <v>459</v>
      </c>
      <c r="D16" s="376"/>
      <c r="E16" s="393"/>
    </row>
    <row r="17" spans="1:5" s="137" customFormat="1" ht="36" customHeight="1" collapsed="1" x14ac:dyDescent="0.2">
      <c r="A17" s="326" t="s">
        <v>602</v>
      </c>
      <c r="B17" s="327" t="s">
        <v>1020</v>
      </c>
      <c r="C17" s="327" t="s">
        <v>604</v>
      </c>
      <c r="D17" s="329" t="s">
        <v>704</v>
      </c>
      <c r="E17" s="392">
        <v>1</v>
      </c>
    </row>
    <row r="18" spans="1:5" x14ac:dyDescent="0.2">
      <c r="A18" s="326" t="s">
        <v>603</v>
      </c>
      <c r="B18" s="346" t="s">
        <v>1021</v>
      </c>
      <c r="C18" s="327" t="s">
        <v>605</v>
      </c>
      <c r="D18" s="329" t="s">
        <v>704</v>
      </c>
      <c r="E18" s="392">
        <v>1</v>
      </c>
    </row>
    <row r="19" spans="1:5" ht="21.75" customHeight="1" x14ac:dyDescent="0.2">
      <c r="A19" s="126"/>
      <c r="B19" s="126"/>
      <c r="C19" s="144" t="s">
        <v>606</v>
      </c>
      <c r="D19" s="144"/>
      <c r="E19" s="394"/>
    </row>
    <row r="20" spans="1:5" s="145" customFormat="1" ht="21.75" customHeight="1" x14ac:dyDescent="0.2">
      <c r="A20" s="134" t="s">
        <v>458</v>
      </c>
      <c r="B20" s="347" t="s">
        <v>1022</v>
      </c>
      <c r="C20" s="133" t="s">
        <v>36</v>
      </c>
      <c r="D20" s="120" t="s">
        <v>704</v>
      </c>
      <c r="E20" s="391">
        <v>1</v>
      </c>
    </row>
    <row r="21" spans="1:5" s="142" customFormat="1" x14ac:dyDescent="0.2">
      <c r="A21" s="132" t="s">
        <v>607</v>
      </c>
      <c r="B21" s="348" t="s">
        <v>1023</v>
      </c>
      <c r="C21" s="121" t="s">
        <v>197</v>
      </c>
      <c r="D21" s="329" t="s">
        <v>704</v>
      </c>
      <c r="E21" s="392">
        <v>1</v>
      </c>
    </row>
    <row r="22" spans="1:5" ht="15" hidden="1" customHeight="1" outlineLevel="1" x14ac:dyDescent="0.2">
      <c r="A22" s="375" t="s">
        <v>892</v>
      </c>
      <c r="B22" s="384"/>
      <c r="C22" s="376" t="s">
        <v>621</v>
      </c>
      <c r="D22" s="376"/>
      <c r="E22" s="393"/>
    </row>
    <row r="23" spans="1:5" hidden="1" outlineLevel="1" x14ac:dyDescent="0.2">
      <c r="A23" s="375" t="s">
        <v>893</v>
      </c>
      <c r="B23" s="384"/>
      <c r="C23" s="376" t="s">
        <v>346</v>
      </c>
      <c r="D23" s="376"/>
      <c r="E23" s="393"/>
    </row>
    <row r="24" spans="1:5" hidden="1" outlineLevel="1" x14ac:dyDescent="0.2">
      <c r="A24" s="375" t="s">
        <v>894</v>
      </c>
      <c r="B24" s="384"/>
      <c r="C24" s="376" t="s">
        <v>347</v>
      </c>
      <c r="D24" s="376"/>
      <c r="E24" s="393"/>
    </row>
    <row r="25" spans="1:5" ht="31.5" hidden="1" customHeight="1" outlineLevel="1" x14ac:dyDescent="0.2">
      <c r="A25" s="375" t="s">
        <v>895</v>
      </c>
      <c r="B25" s="384" t="s">
        <v>247</v>
      </c>
      <c r="C25" s="376" t="s">
        <v>248</v>
      </c>
      <c r="D25" s="358" t="s">
        <v>704</v>
      </c>
      <c r="E25" s="397">
        <v>1</v>
      </c>
    </row>
    <row r="26" spans="1:5" s="142" customFormat="1" collapsed="1" x14ac:dyDescent="0.2">
      <c r="A26" s="132" t="s">
        <v>608</v>
      </c>
      <c r="B26" s="348" t="s">
        <v>1024</v>
      </c>
      <c r="C26" s="121" t="s">
        <v>199</v>
      </c>
      <c r="D26" s="329" t="s">
        <v>704</v>
      </c>
      <c r="E26" s="392">
        <v>1</v>
      </c>
    </row>
    <row r="27" spans="1:5" hidden="1" outlineLevel="1" x14ac:dyDescent="0.2">
      <c r="A27" s="375" t="s">
        <v>622</v>
      </c>
      <c r="B27" s="384"/>
      <c r="C27" s="376" t="s">
        <v>351</v>
      </c>
      <c r="D27" s="376"/>
      <c r="E27" s="393"/>
    </row>
    <row r="28" spans="1:5" ht="16.5" hidden="1" customHeight="1" outlineLevel="1" x14ac:dyDescent="0.2">
      <c r="A28" s="375" t="s">
        <v>594</v>
      </c>
      <c r="B28" s="384"/>
      <c r="C28" s="376" t="s">
        <v>352</v>
      </c>
      <c r="D28" s="376"/>
      <c r="E28" s="393"/>
    </row>
    <row r="29" spans="1:5" s="137" customFormat="1" hidden="1" outlineLevel="1" x14ac:dyDescent="0.2">
      <c r="A29" s="375" t="s">
        <v>623</v>
      </c>
      <c r="B29" s="384"/>
      <c r="C29" s="376" t="s">
        <v>343</v>
      </c>
      <c r="D29" s="376"/>
      <c r="E29" s="393"/>
    </row>
    <row r="30" spans="1:5" s="142" customFormat="1" collapsed="1" x14ac:dyDescent="0.2">
      <c r="A30" s="132" t="s">
        <v>609</v>
      </c>
      <c r="B30" s="348" t="s">
        <v>1025</v>
      </c>
      <c r="C30" s="121" t="s">
        <v>201</v>
      </c>
      <c r="D30" s="329" t="s">
        <v>704</v>
      </c>
      <c r="E30" s="392">
        <v>1</v>
      </c>
    </row>
    <row r="31" spans="1:5" hidden="1" outlineLevel="1" x14ac:dyDescent="0.2">
      <c r="A31" s="375" t="s">
        <v>896</v>
      </c>
      <c r="B31" s="384"/>
      <c r="C31" s="376" t="s">
        <v>356</v>
      </c>
      <c r="D31" s="358" t="s">
        <v>704</v>
      </c>
      <c r="E31" s="397">
        <v>1</v>
      </c>
    </row>
    <row r="32" spans="1:5" hidden="1" outlineLevel="1" x14ac:dyDescent="0.2">
      <c r="A32" s="375" t="s">
        <v>897</v>
      </c>
      <c r="B32" s="384"/>
      <c r="C32" s="376" t="s">
        <v>360</v>
      </c>
      <c r="D32" s="358" t="s">
        <v>704</v>
      </c>
      <c r="E32" s="397">
        <v>1</v>
      </c>
    </row>
    <row r="33" spans="1:5" hidden="1" outlineLevel="1" x14ac:dyDescent="0.2">
      <c r="A33" s="375" t="s">
        <v>898</v>
      </c>
      <c r="B33" s="384"/>
      <c r="C33" s="376" t="s">
        <v>361</v>
      </c>
      <c r="D33" s="358" t="s">
        <v>704</v>
      </c>
      <c r="E33" s="397">
        <v>1</v>
      </c>
    </row>
    <row r="34" spans="1:5" ht="31.5" hidden="1" customHeight="1" outlineLevel="1" x14ac:dyDescent="0.2">
      <c r="A34" s="375" t="s">
        <v>899</v>
      </c>
      <c r="B34" s="384" t="s">
        <v>249</v>
      </c>
      <c r="C34" s="376" t="s">
        <v>250</v>
      </c>
      <c r="D34" s="358" t="s">
        <v>704</v>
      </c>
      <c r="E34" s="397">
        <v>1</v>
      </c>
    </row>
    <row r="35" spans="1:5" s="142" customFormat="1" ht="31.5" collapsed="1" x14ac:dyDescent="0.2">
      <c r="A35" s="132" t="s">
        <v>610</v>
      </c>
      <c r="B35" s="348" t="s">
        <v>1026</v>
      </c>
      <c r="C35" s="121" t="s">
        <v>203</v>
      </c>
      <c r="D35" s="329" t="s">
        <v>704</v>
      </c>
      <c r="E35" s="392">
        <v>1</v>
      </c>
    </row>
    <row r="36" spans="1:5" hidden="1" outlineLevel="1" x14ac:dyDescent="0.2">
      <c r="A36" s="375" t="s">
        <v>900</v>
      </c>
      <c r="B36" s="384"/>
      <c r="C36" s="376" t="s">
        <v>362</v>
      </c>
      <c r="D36" s="358" t="s">
        <v>704</v>
      </c>
      <c r="E36" s="397">
        <v>1</v>
      </c>
    </row>
    <row r="37" spans="1:5" hidden="1" outlineLevel="1" x14ac:dyDescent="0.2">
      <c r="A37" s="375" t="s">
        <v>901</v>
      </c>
      <c r="B37" s="384"/>
      <c r="C37" s="376" t="s">
        <v>364</v>
      </c>
      <c r="D37" s="358" t="s">
        <v>704</v>
      </c>
      <c r="E37" s="397">
        <v>1</v>
      </c>
    </row>
    <row r="38" spans="1:5" hidden="1" outlineLevel="1" x14ac:dyDescent="0.2">
      <c r="A38" s="375" t="s">
        <v>902</v>
      </c>
      <c r="B38" s="384"/>
      <c r="C38" s="376" t="s">
        <v>365</v>
      </c>
      <c r="D38" s="358" t="s">
        <v>704</v>
      </c>
      <c r="E38" s="397">
        <v>1</v>
      </c>
    </row>
    <row r="39" spans="1:5" s="143" customFormat="1" hidden="1" outlineLevel="1" x14ac:dyDescent="0.2">
      <c r="A39" s="375" t="s">
        <v>903</v>
      </c>
      <c r="B39" s="384"/>
      <c r="C39" s="376" t="s">
        <v>368</v>
      </c>
      <c r="D39" s="358" t="s">
        <v>704</v>
      </c>
      <c r="E39" s="397">
        <v>1</v>
      </c>
    </row>
    <row r="40" spans="1:5" ht="31.5" hidden="1" customHeight="1" outlineLevel="1" x14ac:dyDescent="0.2">
      <c r="A40" s="375" t="s">
        <v>904</v>
      </c>
      <c r="B40" s="384" t="s">
        <v>251</v>
      </c>
      <c r="C40" s="376" t="s">
        <v>252</v>
      </c>
      <c r="D40" s="358" t="s">
        <v>704</v>
      </c>
      <c r="E40" s="397">
        <v>1</v>
      </c>
    </row>
    <row r="41" spans="1:5" s="142" customFormat="1" ht="31.5" collapsed="1" x14ac:dyDescent="0.2">
      <c r="A41" s="132" t="s">
        <v>611</v>
      </c>
      <c r="B41" s="348" t="s">
        <v>1027</v>
      </c>
      <c r="C41" s="121" t="s">
        <v>205</v>
      </c>
      <c r="D41" s="329" t="s">
        <v>704</v>
      </c>
      <c r="E41" s="392">
        <v>1</v>
      </c>
    </row>
    <row r="42" spans="1:5" s="142" customFormat="1" ht="31.5" x14ac:dyDescent="0.2">
      <c r="A42" s="132" t="s">
        <v>612</v>
      </c>
      <c r="B42" s="348" t="s">
        <v>1028</v>
      </c>
      <c r="C42" s="121" t="s">
        <v>207</v>
      </c>
      <c r="D42" s="329" t="s">
        <v>704</v>
      </c>
      <c r="E42" s="392">
        <v>1</v>
      </c>
    </row>
    <row r="43" spans="1:5" hidden="1" outlineLevel="1" x14ac:dyDescent="0.2">
      <c r="A43" s="375" t="s">
        <v>905</v>
      </c>
      <c r="B43" s="384"/>
      <c r="C43" s="376" t="s">
        <v>362</v>
      </c>
      <c r="D43" s="358" t="s">
        <v>704</v>
      </c>
      <c r="E43" s="397">
        <v>1</v>
      </c>
    </row>
    <row r="44" spans="1:5" hidden="1" outlineLevel="1" x14ac:dyDescent="0.2">
      <c r="A44" s="375" t="s">
        <v>906</v>
      </c>
      <c r="B44" s="384"/>
      <c r="C44" s="376" t="s">
        <v>364</v>
      </c>
      <c r="D44" s="358" t="s">
        <v>704</v>
      </c>
      <c r="E44" s="397">
        <v>1</v>
      </c>
    </row>
    <row r="45" spans="1:5" hidden="1" outlineLevel="1" x14ac:dyDescent="0.2">
      <c r="A45" s="375" t="s">
        <v>907</v>
      </c>
      <c r="B45" s="384"/>
      <c r="C45" s="376" t="s">
        <v>365</v>
      </c>
      <c r="D45" s="358" t="s">
        <v>704</v>
      </c>
      <c r="E45" s="397">
        <v>1</v>
      </c>
    </row>
    <row r="46" spans="1:5" hidden="1" outlineLevel="1" x14ac:dyDescent="0.2">
      <c r="A46" s="375" t="s">
        <v>908</v>
      </c>
      <c r="B46" s="384"/>
      <c r="C46" s="376" t="s">
        <v>368</v>
      </c>
      <c r="D46" s="358" t="s">
        <v>704</v>
      </c>
      <c r="E46" s="397">
        <v>1</v>
      </c>
    </row>
    <row r="47" spans="1:5" ht="31.5" hidden="1" customHeight="1" outlineLevel="1" x14ac:dyDescent="0.2">
      <c r="A47" s="375" t="s">
        <v>909</v>
      </c>
      <c r="B47" s="384" t="s">
        <v>253</v>
      </c>
      <c r="C47" s="376" t="s">
        <v>254</v>
      </c>
      <c r="D47" s="358" t="s">
        <v>704</v>
      </c>
      <c r="E47" s="397">
        <v>1</v>
      </c>
    </row>
    <row r="48" spans="1:5" s="142" customFormat="1" ht="31.5" collapsed="1" x14ac:dyDescent="0.2">
      <c r="A48" s="132" t="s">
        <v>613</v>
      </c>
      <c r="B48" s="348" t="s">
        <v>1029</v>
      </c>
      <c r="C48" s="121" t="s">
        <v>209</v>
      </c>
      <c r="D48" s="329" t="s">
        <v>704</v>
      </c>
      <c r="E48" s="392">
        <v>1</v>
      </c>
    </row>
    <row r="49" spans="1:5" s="142" customFormat="1" ht="24.75" customHeight="1" x14ac:dyDescent="0.2">
      <c r="A49" s="132" t="s">
        <v>614</v>
      </c>
      <c r="B49" s="348" t="s">
        <v>1030</v>
      </c>
      <c r="C49" s="121" t="s">
        <v>211</v>
      </c>
      <c r="D49" s="329" t="s">
        <v>704</v>
      </c>
      <c r="E49" s="392">
        <v>1</v>
      </c>
    </row>
    <row r="50" spans="1:5" hidden="1" outlineLevel="1" x14ac:dyDescent="0.2">
      <c r="A50" s="375" t="s">
        <v>994</v>
      </c>
      <c r="B50" s="384"/>
      <c r="C50" s="376" t="s">
        <v>374</v>
      </c>
      <c r="D50" s="358" t="s">
        <v>704</v>
      </c>
      <c r="E50" s="397">
        <v>1</v>
      </c>
    </row>
    <row r="51" spans="1:5" hidden="1" outlineLevel="1" x14ac:dyDescent="0.2">
      <c r="A51" s="375" t="s">
        <v>995</v>
      </c>
      <c r="B51" s="384"/>
      <c r="C51" s="376" t="s">
        <v>378</v>
      </c>
      <c r="D51" s="358" t="s">
        <v>704</v>
      </c>
      <c r="E51" s="397">
        <v>1</v>
      </c>
    </row>
    <row r="52" spans="1:5" hidden="1" outlineLevel="1" x14ac:dyDescent="0.2">
      <c r="A52" s="375" t="s">
        <v>996</v>
      </c>
      <c r="B52" s="384"/>
      <c r="C52" s="376" t="s">
        <v>379</v>
      </c>
      <c r="D52" s="358" t="s">
        <v>704</v>
      </c>
      <c r="E52" s="397">
        <v>1</v>
      </c>
    </row>
    <row r="53" spans="1:5" ht="31.5" hidden="1" customHeight="1" outlineLevel="1" x14ac:dyDescent="0.2">
      <c r="A53" s="375" t="s">
        <v>997</v>
      </c>
      <c r="B53" s="384" t="s">
        <v>255</v>
      </c>
      <c r="C53" s="376" t="s">
        <v>256</v>
      </c>
      <c r="D53" s="358" t="s">
        <v>704</v>
      </c>
      <c r="E53" s="397">
        <v>1</v>
      </c>
    </row>
    <row r="54" spans="1:5" s="142" customFormat="1" collapsed="1" x14ac:dyDescent="0.2">
      <c r="A54" s="132" t="s">
        <v>615</v>
      </c>
      <c r="B54" s="348" t="s">
        <v>1031</v>
      </c>
      <c r="C54" s="121" t="s">
        <v>213</v>
      </c>
      <c r="D54" s="329" t="s">
        <v>704</v>
      </c>
      <c r="E54" s="392">
        <v>1</v>
      </c>
    </row>
    <row r="55" spans="1:5" s="142" customFormat="1" x14ac:dyDescent="0.2">
      <c r="A55" s="132" t="s">
        <v>616</v>
      </c>
      <c r="B55" s="348" t="s">
        <v>1032</v>
      </c>
      <c r="C55" s="121" t="s">
        <v>215</v>
      </c>
      <c r="D55" s="329" t="s">
        <v>704</v>
      </c>
      <c r="E55" s="392">
        <v>1</v>
      </c>
    </row>
    <row r="56" spans="1:5" hidden="1" outlineLevel="1" x14ac:dyDescent="0.2">
      <c r="A56" s="375" t="s">
        <v>998</v>
      </c>
      <c r="B56" s="384"/>
      <c r="C56" s="376" t="s">
        <v>381</v>
      </c>
      <c r="D56" s="376"/>
      <c r="E56" s="393"/>
    </row>
    <row r="57" spans="1:5" hidden="1" outlineLevel="1" x14ac:dyDescent="0.2">
      <c r="A57" s="375" t="s">
        <v>999</v>
      </c>
      <c r="B57" s="384"/>
      <c r="C57" s="376" t="s">
        <v>382</v>
      </c>
      <c r="D57" s="376"/>
      <c r="E57" s="393"/>
    </row>
    <row r="58" spans="1:5" hidden="1" outlineLevel="1" x14ac:dyDescent="0.2">
      <c r="A58" s="375" t="s">
        <v>1000</v>
      </c>
      <c r="B58" s="384"/>
      <c r="C58" s="376" t="s">
        <v>385</v>
      </c>
      <c r="D58" s="376"/>
      <c r="E58" s="393"/>
    </row>
    <row r="59" spans="1:5" s="142" customFormat="1" collapsed="1" x14ac:dyDescent="0.2">
      <c r="A59" s="132" t="s">
        <v>617</v>
      </c>
      <c r="B59" s="348" t="s">
        <v>1033</v>
      </c>
      <c r="C59" s="121" t="s">
        <v>217</v>
      </c>
      <c r="D59" s="329" t="s">
        <v>704</v>
      </c>
      <c r="E59" s="392">
        <v>1</v>
      </c>
    </row>
    <row r="60" spans="1:5" hidden="1" outlineLevel="1" x14ac:dyDescent="0.2">
      <c r="A60" s="375" t="s">
        <v>1001</v>
      </c>
      <c r="B60" s="384"/>
      <c r="C60" s="376" t="s">
        <v>389</v>
      </c>
      <c r="D60" s="376"/>
      <c r="E60" s="393"/>
    </row>
    <row r="61" spans="1:5" hidden="1" outlineLevel="1" x14ac:dyDescent="0.2">
      <c r="A61" s="375" t="s">
        <v>1002</v>
      </c>
      <c r="B61" s="384"/>
      <c r="C61" s="376" t="s">
        <v>390</v>
      </c>
      <c r="D61" s="376"/>
      <c r="E61" s="393"/>
    </row>
    <row r="62" spans="1:5" hidden="1" outlineLevel="1" x14ac:dyDescent="0.2">
      <c r="A62" s="375" t="s">
        <v>1003</v>
      </c>
      <c r="B62" s="384"/>
      <c r="C62" s="376" t="s">
        <v>391</v>
      </c>
      <c r="D62" s="376"/>
      <c r="E62" s="393"/>
    </row>
    <row r="63" spans="1:5" s="142" customFormat="1" collapsed="1" x14ac:dyDescent="0.2">
      <c r="A63" s="132" t="s">
        <v>618</v>
      </c>
      <c r="B63" s="348" t="s">
        <v>1034</v>
      </c>
      <c r="C63" s="121" t="s">
        <v>219</v>
      </c>
      <c r="D63" s="329" t="s">
        <v>704</v>
      </c>
      <c r="E63" s="392">
        <v>1</v>
      </c>
    </row>
    <row r="64" spans="1:5" hidden="1" outlineLevel="1" x14ac:dyDescent="0.2">
      <c r="A64" s="375" t="s">
        <v>1004</v>
      </c>
      <c r="B64" s="384"/>
      <c r="C64" s="376" t="s">
        <v>394</v>
      </c>
      <c r="D64" s="358" t="s">
        <v>704</v>
      </c>
      <c r="E64" s="397">
        <v>1</v>
      </c>
    </row>
    <row r="65" spans="1:5" hidden="1" outlineLevel="1" x14ac:dyDescent="0.2">
      <c r="A65" s="375" t="s">
        <v>1005</v>
      </c>
      <c r="B65" s="384"/>
      <c r="C65" s="376" t="s">
        <v>395</v>
      </c>
      <c r="D65" s="358" t="s">
        <v>704</v>
      </c>
      <c r="E65" s="397">
        <v>1</v>
      </c>
    </row>
    <row r="66" spans="1:5" s="142" customFormat="1" collapsed="1" x14ac:dyDescent="0.2">
      <c r="A66" s="132" t="s">
        <v>619</v>
      </c>
      <c r="B66" s="348" t="s">
        <v>1035</v>
      </c>
      <c r="C66" s="121" t="s">
        <v>221</v>
      </c>
      <c r="D66" s="329" t="s">
        <v>704</v>
      </c>
      <c r="E66" s="392">
        <v>1</v>
      </c>
    </row>
    <row r="67" spans="1:5" hidden="1" outlineLevel="1" x14ac:dyDescent="0.2">
      <c r="A67" s="375" t="s">
        <v>622</v>
      </c>
      <c r="B67" s="384"/>
      <c r="C67" s="376" t="s">
        <v>381</v>
      </c>
      <c r="D67" s="376"/>
      <c r="E67" s="393"/>
    </row>
    <row r="68" spans="1:5" ht="34.5" hidden="1" customHeight="1" outlineLevel="1" x14ac:dyDescent="0.2">
      <c r="A68" s="375" t="s">
        <v>594</v>
      </c>
      <c r="B68" s="384"/>
      <c r="C68" s="376" t="s">
        <v>382</v>
      </c>
      <c r="D68" s="376"/>
      <c r="E68" s="393"/>
    </row>
    <row r="69" spans="1:5" hidden="1" outlineLevel="1" x14ac:dyDescent="0.2">
      <c r="A69" s="375" t="s">
        <v>623</v>
      </c>
      <c r="B69" s="384"/>
      <c r="C69" s="376" t="s">
        <v>385</v>
      </c>
      <c r="D69" s="376"/>
      <c r="E69" s="393"/>
    </row>
    <row r="70" spans="1:5" s="142" customFormat="1" ht="31.5" collapsed="1" x14ac:dyDescent="0.2">
      <c r="A70" s="132" t="s">
        <v>620</v>
      </c>
      <c r="B70" s="348" t="s">
        <v>1036</v>
      </c>
      <c r="C70" s="327" t="s">
        <v>880</v>
      </c>
      <c r="D70" s="329" t="s">
        <v>704</v>
      </c>
      <c r="E70" s="392">
        <v>1</v>
      </c>
    </row>
    <row r="71" spans="1:5" s="145" customFormat="1" ht="27" customHeight="1" x14ac:dyDescent="0.2">
      <c r="A71" s="134" t="s">
        <v>625</v>
      </c>
      <c r="B71" s="347" t="s">
        <v>1037</v>
      </c>
      <c r="C71" s="133" t="s">
        <v>38</v>
      </c>
      <c r="D71" s="120" t="s">
        <v>704</v>
      </c>
      <c r="E71" s="391">
        <v>1</v>
      </c>
    </row>
    <row r="72" spans="1:5" s="142" customFormat="1" x14ac:dyDescent="0.2">
      <c r="A72" s="132" t="s">
        <v>626</v>
      </c>
      <c r="B72" s="348" t="s">
        <v>1038</v>
      </c>
      <c r="C72" s="121" t="s">
        <v>197</v>
      </c>
      <c r="D72" s="329" t="s">
        <v>704</v>
      </c>
      <c r="E72" s="392">
        <v>1</v>
      </c>
    </row>
    <row r="73" spans="1:5" hidden="1" outlineLevel="1" x14ac:dyDescent="0.2">
      <c r="A73" s="375" t="s">
        <v>910</v>
      </c>
      <c r="B73" s="384"/>
      <c r="C73" s="376" t="s">
        <v>409</v>
      </c>
      <c r="D73" s="358" t="s">
        <v>704</v>
      </c>
      <c r="E73" s="397">
        <v>1</v>
      </c>
    </row>
    <row r="74" spans="1:5" hidden="1" outlineLevel="1" x14ac:dyDescent="0.2">
      <c r="A74" s="375" t="s">
        <v>911</v>
      </c>
      <c r="B74" s="384"/>
      <c r="C74" s="376" t="s">
        <v>411</v>
      </c>
      <c r="D74" s="358" t="s">
        <v>704</v>
      </c>
      <c r="E74" s="397">
        <v>1</v>
      </c>
    </row>
    <row r="75" spans="1:5" hidden="1" outlineLevel="1" x14ac:dyDescent="0.2">
      <c r="A75" s="375" t="s">
        <v>912</v>
      </c>
      <c r="B75" s="384"/>
      <c r="C75" s="376" t="s">
        <v>412</v>
      </c>
      <c r="D75" s="358" t="s">
        <v>704</v>
      </c>
      <c r="E75" s="397">
        <v>1</v>
      </c>
    </row>
    <row r="76" spans="1:5" hidden="1" outlineLevel="1" x14ac:dyDescent="0.2">
      <c r="A76" s="375" t="s">
        <v>913</v>
      </c>
      <c r="B76" s="384"/>
      <c r="C76" s="376" t="s">
        <v>347</v>
      </c>
      <c r="D76" s="358" t="s">
        <v>704</v>
      </c>
      <c r="E76" s="397">
        <v>1</v>
      </c>
    </row>
    <row r="77" spans="1:5" s="143" customFormat="1" hidden="1" outlineLevel="1" x14ac:dyDescent="0.2">
      <c r="A77" s="375" t="s">
        <v>914</v>
      </c>
      <c r="B77" s="384" t="s">
        <v>223</v>
      </c>
      <c r="C77" s="376" t="s">
        <v>224</v>
      </c>
      <c r="D77" s="358" t="s">
        <v>704</v>
      </c>
      <c r="E77" s="397">
        <v>1</v>
      </c>
    </row>
    <row r="78" spans="1:5" s="142" customFormat="1" collapsed="1" x14ac:dyDescent="0.2">
      <c r="A78" s="132" t="s">
        <v>660</v>
      </c>
      <c r="B78" s="348" t="s">
        <v>1039</v>
      </c>
      <c r="C78" s="121" t="s">
        <v>199</v>
      </c>
      <c r="D78" s="329" t="s">
        <v>704</v>
      </c>
      <c r="E78" s="392">
        <v>1</v>
      </c>
    </row>
    <row r="79" spans="1:5" hidden="1" outlineLevel="1" x14ac:dyDescent="0.2">
      <c r="A79" s="375" t="s">
        <v>622</v>
      </c>
      <c r="B79" s="384"/>
      <c r="C79" s="376" t="s">
        <v>351</v>
      </c>
      <c r="D79" s="358" t="s">
        <v>704</v>
      </c>
      <c r="E79" s="397">
        <v>1</v>
      </c>
    </row>
    <row r="80" spans="1:5" hidden="1" outlineLevel="1" x14ac:dyDescent="0.2">
      <c r="A80" s="375" t="s">
        <v>594</v>
      </c>
      <c r="B80" s="384"/>
      <c r="C80" s="376" t="s">
        <v>417</v>
      </c>
      <c r="D80" s="358" t="s">
        <v>704</v>
      </c>
      <c r="E80" s="397">
        <v>1</v>
      </c>
    </row>
    <row r="81" spans="1:5" s="137" customFormat="1" hidden="1" outlineLevel="1" x14ac:dyDescent="0.2">
      <c r="A81" s="375" t="s">
        <v>623</v>
      </c>
      <c r="B81" s="384"/>
      <c r="C81" s="376" t="s">
        <v>344</v>
      </c>
      <c r="D81" s="358" t="s">
        <v>704</v>
      </c>
      <c r="E81" s="397">
        <v>1</v>
      </c>
    </row>
    <row r="82" spans="1:5" s="142" customFormat="1" ht="20.25" customHeight="1" collapsed="1" x14ac:dyDescent="0.2">
      <c r="A82" s="132" t="s">
        <v>661</v>
      </c>
      <c r="B82" s="348" t="s">
        <v>1040</v>
      </c>
      <c r="C82" s="121" t="s">
        <v>201</v>
      </c>
      <c r="D82" s="329" t="s">
        <v>704</v>
      </c>
      <c r="E82" s="392">
        <v>1</v>
      </c>
    </row>
    <row r="83" spans="1:5" ht="20.25" hidden="1" customHeight="1" outlineLevel="1" x14ac:dyDescent="0.2">
      <c r="A83" s="375" t="s">
        <v>915</v>
      </c>
      <c r="B83" s="384"/>
      <c r="C83" s="376" t="s">
        <v>356</v>
      </c>
      <c r="D83" s="358" t="s">
        <v>704</v>
      </c>
      <c r="E83" s="397">
        <v>1</v>
      </c>
    </row>
    <row r="84" spans="1:5" ht="20.25" hidden="1" customHeight="1" outlineLevel="1" x14ac:dyDescent="0.2">
      <c r="A84" s="375" t="s">
        <v>916</v>
      </c>
      <c r="B84" s="384"/>
      <c r="C84" s="376" t="s">
        <v>421</v>
      </c>
      <c r="D84" s="358" t="s">
        <v>704</v>
      </c>
      <c r="E84" s="397">
        <v>1</v>
      </c>
    </row>
    <row r="85" spans="1:5" ht="20.25" hidden="1" customHeight="1" outlineLevel="1" x14ac:dyDescent="0.2">
      <c r="A85" s="375" t="s">
        <v>917</v>
      </c>
      <c r="B85" s="384"/>
      <c r="C85" s="376" t="s">
        <v>361</v>
      </c>
      <c r="D85" s="358" t="s">
        <v>704</v>
      </c>
      <c r="E85" s="397">
        <v>1</v>
      </c>
    </row>
    <row r="86" spans="1:5" s="143" customFormat="1" hidden="1" outlineLevel="1" x14ac:dyDescent="0.2">
      <c r="A86" s="375" t="s">
        <v>918</v>
      </c>
      <c r="B86" s="384" t="s">
        <v>225</v>
      </c>
      <c r="C86" s="376" t="s">
        <v>226</v>
      </c>
      <c r="D86" s="358" t="s">
        <v>704</v>
      </c>
      <c r="E86" s="397">
        <v>1</v>
      </c>
    </row>
    <row r="87" spans="1:5" s="142" customFormat="1" ht="31.5" collapsed="1" x14ac:dyDescent="0.2">
      <c r="A87" s="132" t="s">
        <v>662</v>
      </c>
      <c r="B87" s="348" t="s">
        <v>1041</v>
      </c>
      <c r="C87" s="121" t="s">
        <v>203</v>
      </c>
      <c r="D87" s="329" t="s">
        <v>704</v>
      </c>
      <c r="E87" s="392">
        <v>1</v>
      </c>
    </row>
    <row r="88" spans="1:5" s="143" customFormat="1" hidden="1" outlineLevel="1" x14ac:dyDescent="0.2">
      <c r="A88" s="375" t="s">
        <v>919</v>
      </c>
      <c r="B88" s="384"/>
      <c r="C88" s="376" t="s">
        <v>362</v>
      </c>
      <c r="D88" s="358" t="s">
        <v>704</v>
      </c>
      <c r="E88" s="397">
        <v>1</v>
      </c>
    </row>
    <row r="89" spans="1:5" s="143" customFormat="1" hidden="1" outlineLevel="1" x14ac:dyDescent="0.2">
      <c r="A89" s="375" t="s">
        <v>920</v>
      </c>
      <c r="B89" s="384"/>
      <c r="C89" s="376" t="s">
        <v>364</v>
      </c>
      <c r="D89" s="358" t="s">
        <v>704</v>
      </c>
      <c r="E89" s="397">
        <v>1</v>
      </c>
    </row>
    <row r="90" spans="1:5" s="143" customFormat="1" hidden="1" outlineLevel="1" x14ac:dyDescent="0.2">
      <c r="A90" s="375" t="s">
        <v>921</v>
      </c>
      <c r="B90" s="384"/>
      <c r="C90" s="376" t="s">
        <v>365</v>
      </c>
      <c r="D90" s="358" t="s">
        <v>704</v>
      </c>
      <c r="E90" s="397">
        <v>1</v>
      </c>
    </row>
    <row r="91" spans="1:5" s="143" customFormat="1" hidden="1" outlineLevel="1" x14ac:dyDescent="0.2">
      <c r="A91" s="375" t="s">
        <v>922</v>
      </c>
      <c r="B91" s="384"/>
      <c r="C91" s="376" t="s">
        <v>368</v>
      </c>
      <c r="D91" s="358" t="s">
        <v>704</v>
      </c>
      <c r="E91" s="397">
        <v>1</v>
      </c>
    </row>
    <row r="92" spans="1:5" s="143" customFormat="1" hidden="1" outlineLevel="1" x14ac:dyDescent="0.2">
      <c r="A92" s="375" t="s">
        <v>923</v>
      </c>
      <c r="B92" s="384" t="s">
        <v>227</v>
      </c>
      <c r="C92" s="376" t="s">
        <v>228</v>
      </c>
      <c r="D92" s="358" t="s">
        <v>704</v>
      </c>
      <c r="E92" s="397">
        <v>1</v>
      </c>
    </row>
    <row r="93" spans="1:5" s="142" customFormat="1" ht="31.5" collapsed="1" x14ac:dyDescent="0.2">
      <c r="A93" s="132" t="s">
        <v>663</v>
      </c>
      <c r="B93" s="348" t="s">
        <v>1042</v>
      </c>
      <c r="C93" s="121" t="s">
        <v>205</v>
      </c>
      <c r="D93" s="329" t="s">
        <v>704</v>
      </c>
      <c r="E93" s="392">
        <v>1</v>
      </c>
    </row>
    <row r="94" spans="1:5" s="142" customFormat="1" ht="31.5" x14ac:dyDescent="0.2">
      <c r="A94" s="132" t="s">
        <v>664</v>
      </c>
      <c r="B94" s="348" t="s">
        <v>1043</v>
      </c>
      <c r="C94" s="121" t="s">
        <v>207</v>
      </c>
      <c r="D94" s="329" t="s">
        <v>704</v>
      </c>
      <c r="E94" s="392">
        <v>1</v>
      </c>
    </row>
    <row r="95" spans="1:5" hidden="1" outlineLevel="1" x14ac:dyDescent="0.2">
      <c r="A95" s="375" t="s">
        <v>924</v>
      </c>
      <c r="B95" s="384"/>
      <c r="C95" s="376" t="s">
        <v>362</v>
      </c>
      <c r="D95" s="358" t="s">
        <v>704</v>
      </c>
      <c r="E95" s="397">
        <v>1</v>
      </c>
    </row>
    <row r="96" spans="1:5" hidden="1" outlineLevel="1" x14ac:dyDescent="0.2">
      <c r="A96" s="375" t="s">
        <v>925</v>
      </c>
      <c r="B96" s="384"/>
      <c r="C96" s="376" t="s">
        <v>364</v>
      </c>
      <c r="D96" s="358" t="s">
        <v>704</v>
      </c>
      <c r="E96" s="397">
        <v>1</v>
      </c>
    </row>
    <row r="97" spans="1:5" hidden="1" outlineLevel="1" x14ac:dyDescent="0.2">
      <c r="A97" s="375" t="s">
        <v>926</v>
      </c>
      <c r="B97" s="384"/>
      <c r="C97" s="376" t="s">
        <v>365</v>
      </c>
      <c r="D97" s="358" t="s">
        <v>704</v>
      </c>
      <c r="E97" s="397">
        <v>1</v>
      </c>
    </row>
    <row r="98" spans="1:5" hidden="1" outlineLevel="1" x14ac:dyDescent="0.2">
      <c r="A98" s="375" t="s">
        <v>927</v>
      </c>
      <c r="B98" s="384"/>
      <c r="C98" s="376" t="s">
        <v>368</v>
      </c>
      <c r="D98" s="358" t="s">
        <v>704</v>
      </c>
      <c r="E98" s="397">
        <v>1</v>
      </c>
    </row>
    <row r="99" spans="1:5" s="143" customFormat="1" hidden="1" outlineLevel="1" x14ac:dyDescent="0.2">
      <c r="A99" s="375" t="s">
        <v>928</v>
      </c>
      <c r="B99" s="384" t="s">
        <v>229</v>
      </c>
      <c r="C99" s="376" t="s">
        <v>230</v>
      </c>
      <c r="D99" s="358" t="s">
        <v>704</v>
      </c>
      <c r="E99" s="397">
        <v>1</v>
      </c>
    </row>
    <row r="100" spans="1:5" s="142" customFormat="1" ht="31.5" collapsed="1" x14ac:dyDescent="0.2">
      <c r="A100" s="132" t="s">
        <v>665</v>
      </c>
      <c r="B100" s="348" t="s">
        <v>1044</v>
      </c>
      <c r="C100" s="121" t="s">
        <v>209</v>
      </c>
      <c r="D100" s="329" t="s">
        <v>704</v>
      </c>
      <c r="E100" s="392">
        <v>1</v>
      </c>
    </row>
    <row r="101" spans="1:5" s="142" customFormat="1" ht="21.75" customHeight="1" x14ac:dyDescent="0.2">
      <c r="A101" s="132" t="s">
        <v>666</v>
      </c>
      <c r="B101" s="348" t="s">
        <v>1045</v>
      </c>
      <c r="C101" s="121" t="s">
        <v>211</v>
      </c>
      <c r="D101" s="329" t="s">
        <v>704</v>
      </c>
      <c r="E101" s="392">
        <v>1</v>
      </c>
    </row>
    <row r="102" spans="1:5" ht="15" hidden="1" customHeight="1" outlineLevel="1" x14ac:dyDescent="0.2">
      <c r="A102" s="375" t="s">
        <v>929</v>
      </c>
      <c r="B102" s="384"/>
      <c r="C102" s="376" t="s">
        <v>433</v>
      </c>
      <c r="D102" s="358" t="s">
        <v>704</v>
      </c>
      <c r="E102" s="397">
        <v>1</v>
      </c>
    </row>
    <row r="103" spans="1:5" ht="15" hidden="1" customHeight="1" outlineLevel="1" x14ac:dyDescent="0.2">
      <c r="A103" s="375" t="s">
        <v>930</v>
      </c>
      <c r="B103" s="384"/>
      <c r="C103" s="376" t="s">
        <v>364</v>
      </c>
      <c r="D103" s="358" t="s">
        <v>704</v>
      </c>
      <c r="E103" s="397">
        <v>1</v>
      </c>
    </row>
    <row r="104" spans="1:5" s="143" customFormat="1" hidden="1" outlineLevel="1" x14ac:dyDescent="0.2">
      <c r="A104" s="375" t="s">
        <v>931</v>
      </c>
      <c r="B104" s="384" t="s">
        <v>231</v>
      </c>
      <c r="C104" s="376" t="s">
        <v>232</v>
      </c>
      <c r="D104" s="358" t="s">
        <v>704</v>
      </c>
      <c r="E104" s="397">
        <v>1</v>
      </c>
    </row>
    <row r="105" spans="1:5" s="142" customFormat="1" collapsed="1" x14ac:dyDescent="0.2">
      <c r="A105" s="132" t="s">
        <v>667</v>
      </c>
      <c r="B105" s="348" t="s">
        <v>1046</v>
      </c>
      <c r="C105" s="121" t="s">
        <v>213</v>
      </c>
      <c r="D105" s="329" t="s">
        <v>704</v>
      </c>
      <c r="E105" s="392">
        <v>1</v>
      </c>
    </row>
    <row r="106" spans="1:5" s="142" customFormat="1" ht="21" customHeight="1" x14ac:dyDescent="0.2">
      <c r="A106" s="132" t="s">
        <v>668</v>
      </c>
      <c r="B106" s="348" t="s">
        <v>1047</v>
      </c>
      <c r="C106" s="121" t="s">
        <v>215</v>
      </c>
      <c r="D106" s="329" t="s">
        <v>704</v>
      </c>
      <c r="E106" s="392">
        <v>1</v>
      </c>
    </row>
    <row r="107" spans="1:5" hidden="1" outlineLevel="1" x14ac:dyDescent="0.2">
      <c r="A107" s="375" t="s">
        <v>622</v>
      </c>
      <c r="B107" s="384"/>
      <c r="C107" s="376" t="s">
        <v>381</v>
      </c>
      <c r="D107" s="358" t="s">
        <v>704</v>
      </c>
      <c r="E107" s="397">
        <v>1</v>
      </c>
    </row>
    <row r="108" spans="1:5" hidden="1" outlineLevel="1" x14ac:dyDescent="0.2">
      <c r="A108" s="375" t="s">
        <v>594</v>
      </c>
      <c r="B108" s="384"/>
      <c r="C108" s="376" t="s">
        <v>382</v>
      </c>
      <c r="D108" s="358" t="s">
        <v>704</v>
      </c>
      <c r="E108" s="397">
        <v>1</v>
      </c>
    </row>
    <row r="109" spans="1:5" hidden="1" outlineLevel="1" x14ac:dyDescent="0.2">
      <c r="A109" s="375" t="s">
        <v>623</v>
      </c>
      <c r="B109" s="384"/>
      <c r="C109" s="376" t="s">
        <v>385</v>
      </c>
      <c r="D109" s="358" t="s">
        <v>704</v>
      </c>
      <c r="E109" s="397">
        <v>1</v>
      </c>
    </row>
    <row r="110" spans="1:5" s="142" customFormat="1" ht="20.25" customHeight="1" collapsed="1" x14ac:dyDescent="0.2">
      <c r="A110" s="132" t="s">
        <v>669</v>
      </c>
      <c r="B110" s="348" t="s">
        <v>1048</v>
      </c>
      <c r="C110" s="121" t="s">
        <v>217</v>
      </c>
      <c r="D110" s="329" t="s">
        <v>704</v>
      </c>
      <c r="E110" s="392">
        <v>1</v>
      </c>
    </row>
    <row r="111" spans="1:5" hidden="1" outlineLevel="1" x14ac:dyDescent="0.2">
      <c r="A111" s="375" t="s">
        <v>622</v>
      </c>
      <c r="B111" s="384"/>
      <c r="C111" s="376" t="s">
        <v>389</v>
      </c>
      <c r="D111" s="358" t="s">
        <v>704</v>
      </c>
      <c r="E111" s="397">
        <v>1</v>
      </c>
    </row>
    <row r="112" spans="1:5" hidden="1" outlineLevel="1" x14ac:dyDescent="0.2">
      <c r="A112" s="375" t="s">
        <v>594</v>
      </c>
      <c r="B112" s="384"/>
      <c r="C112" s="376" t="s">
        <v>390</v>
      </c>
      <c r="D112" s="358" t="s">
        <v>704</v>
      </c>
      <c r="E112" s="397">
        <v>1</v>
      </c>
    </row>
    <row r="113" spans="1:5" ht="21" hidden="1" customHeight="1" outlineLevel="1" x14ac:dyDescent="0.2">
      <c r="A113" s="375" t="s">
        <v>623</v>
      </c>
      <c r="B113" s="384"/>
      <c r="C113" s="376" t="s">
        <v>441</v>
      </c>
      <c r="D113" s="358" t="s">
        <v>704</v>
      </c>
      <c r="E113" s="397">
        <v>1</v>
      </c>
    </row>
    <row r="114" spans="1:5" s="142" customFormat="1" collapsed="1" x14ac:dyDescent="0.2">
      <c r="A114" s="132" t="s">
        <v>670</v>
      </c>
      <c r="B114" s="348" t="s">
        <v>1049</v>
      </c>
      <c r="C114" s="121" t="s">
        <v>219</v>
      </c>
      <c r="D114" s="329" t="s">
        <v>704</v>
      </c>
      <c r="E114" s="392">
        <v>1</v>
      </c>
    </row>
    <row r="115" spans="1:5" s="142" customFormat="1" ht="21" customHeight="1" x14ac:dyDescent="0.2">
      <c r="A115" s="132" t="s">
        <v>671</v>
      </c>
      <c r="B115" s="348" t="s">
        <v>1050</v>
      </c>
      <c r="C115" s="121" t="s">
        <v>221</v>
      </c>
      <c r="D115" s="329" t="s">
        <v>704</v>
      </c>
      <c r="E115" s="392">
        <v>1</v>
      </c>
    </row>
    <row r="116" spans="1:5" hidden="1" outlineLevel="1" x14ac:dyDescent="0.2">
      <c r="A116" s="375" t="s">
        <v>622</v>
      </c>
      <c r="B116" s="384"/>
      <c r="C116" s="376" t="s">
        <v>381</v>
      </c>
      <c r="D116" s="358" t="s">
        <v>704</v>
      </c>
      <c r="E116" s="397">
        <v>1</v>
      </c>
    </row>
    <row r="117" spans="1:5" hidden="1" outlineLevel="1" x14ac:dyDescent="0.2">
      <c r="A117" s="375" t="s">
        <v>594</v>
      </c>
      <c r="B117" s="384"/>
      <c r="C117" s="376" t="s">
        <v>382</v>
      </c>
      <c r="D117" s="358" t="s">
        <v>704</v>
      </c>
      <c r="E117" s="397">
        <v>1</v>
      </c>
    </row>
    <row r="118" spans="1:5" hidden="1" outlineLevel="1" x14ac:dyDescent="0.2">
      <c r="A118" s="375" t="s">
        <v>623</v>
      </c>
      <c r="B118" s="384"/>
      <c r="C118" s="376" t="s">
        <v>385</v>
      </c>
      <c r="D118" s="358" t="s">
        <v>704</v>
      </c>
      <c r="E118" s="397">
        <v>1</v>
      </c>
    </row>
    <row r="119" spans="1:5" s="142" customFormat="1" ht="31.5" collapsed="1" x14ac:dyDescent="0.2">
      <c r="A119" s="132" t="s">
        <v>672</v>
      </c>
      <c r="B119" s="348" t="s">
        <v>1051</v>
      </c>
      <c r="C119" s="327" t="s">
        <v>880</v>
      </c>
      <c r="D119" s="329" t="s">
        <v>704</v>
      </c>
      <c r="E119" s="392">
        <v>1</v>
      </c>
    </row>
    <row r="120" spans="1:5" s="145" customFormat="1" x14ac:dyDescent="0.2">
      <c r="A120" s="134" t="s">
        <v>673</v>
      </c>
      <c r="B120" s="347" t="s">
        <v>1052</v>
      </c>
      <c r="C120" s="133" t="s">
        <v>40</v>
      </c>
      <c r="D120" s="120" t="s">
        <v>704</v>
      </c>
      <c r="E120" s="391">
        <v>1</v>
      </c>
    </row>
    <row r="121" spans="1:5" ht="47.25" x14ac:dyDescent="0.2">
      <c r="A121" s="326" t="s">
        <v>674</v>
      </c>
      <c r="B121" s="349" t="s">
        <v>1053</v>
      </c>
      <c r="C121" s="349" t="s">
        <v>1008</v>
      </c>
      <c r="D121" s="329" t="s">
        <v>704</v>
      </c>
      <c r="E121" s="392">
        <v>1</v>
      </c>
    </row>
    <row r="122" spans="1:5" hidden="1" outlineLevel="1" x14ac:dyDescent="0.2">
      <c r="A122" s="356" t="s">
        <v>932</v>
      </c>
      <c r="B122" s="357" t="s">
        <v>317</v>
      </c>
      <c r="C122" s="357" t="s">
        <v>318</v>
      </c>
      <c r="D122" s="358" t="s">
        <v>704</v>
      </c>
      <c r="E122" s="397">
        <v>1</v>
      </c>
    </row>
    <row r="123" spans="1:5" s="145" customFormat="1" hidden="1" outlineLevel="2" x14ac:dyDescent="0.2">
      <c r="A123" s="354" t="s">
        <v>940</v>
      </c>
      <c r="B123" s="355"/>
      <c r="C123" s="355" t="s">
        <v>374</v>
      </c>
      <c r="D123" s="336" t="s">
        <v>704</v>
      </c>
      <c r="E123" s="398">
        <v>1</v>
      </c>
    </row>
    <row r="124" spans="1:5" s="145" customFormat="1" hidden="1" outlineLevel="2" x14ac:dyDescent="0.2">
      <c r="A124" s="354" t="s">
        <v>941</v>
      </c>
      <c r="B124" s="355"/>
      <c r="C124" s="355" t="s">
        <v>465</v>
      </c>
      <c r="D124" s="336" t="s">
        <v>704</v>
      </c>
      <c r="E124" s="398">
        <v>1</v>
      </c>
    </row>
    <row r="125" spans="1:5" s="145" customFormat="1" hidden="1" outlineLevel="2" x14ac:dyDescent="0.2">
      <c r="A125" s="354" t="s">
        <v>942</v>
      </c>
      <c r="B125" s="355"/>
      <c r="C125" s="355" t="s">
        <v>466</v>
      </c>
      <c r="D125" s="336" t="s">
        <v>704</v>
      </c>
      <c r="E125" s="398">
        <v>1</v>
      </c>
    </row>
    <row r="126" spans="1:5" s="145" customFormat="1" hidden="1" outlineLevel="2" x14ac:dyDescent="0.2">
      <c r="A126" s="354" t="s">
        <v>943</v>
      </c>
      <c r="B126" s="355"/>
      <c r="C126" s="355" t="s">
        <v>467</v>
      </c>
      <c r="D126" s="336" t="s">
        <v>704</v>
      </c>
      <c r="E126" s="398">
        <v>1</v>
      </c>
    </row>
    <row r="127" spans="1:5" s="145" customFormat="1" hidden="1" outlineLevel="2" x14ac:dyDescent="0.2">
      <c r="A127" s="354" t="s">
        <v>944</v>
      </c>
      <c r="B127" s="355"/>
      <c r="C127" s="355" t="s">
        <v>468</v>
      </c>
      <c r="D127" s="336" t="s">
        <v>704</v>
      </c>
      <c r="E127" s="398">
        <v>1</v>
      </c>
    </row>
    <row r="128" spans="1:5" s="145" customFormat="1" hidden="1" outlineLevel="2" x14ac:dyDescent="0.2">
      <c r="A128" s="354" t="s">
        <v>945</v>
      </c>
      <c r="B128" s="355"/>
      <c r="C128" s="355" t="s">
        <v>469</v>
      </c>
      <c r="D128" s="336" t="s">
        <v>704</v>
      </c>
      <c r="E128" s="398">
        <v>1</v>
      </c>
    </row>
    <row r="129" spans="1:5" s="145" customFormat="1" ht="31.5" hidden="1" outlineLevel="2" x14ac:dyDescent="0.2">
      <c r="A129" s="354" t="s">
        <v>946</v>
      </c>
      <c r="B129" s="355" t="s">
        <v>334</v>
      </c>
      <c r="C129" s="355" t="s">
        <v>491</v>
      </c>
      <c r="D129" s="336" t="s">
        <v>704</v>
      </c>
      <c r="E129" s="398">
        <v>1</v>
      </c>
    </row>
    <row r="130" spans="1:5" hidden="1" outlineLevel="1" x14ac:dyDescent="0.2">
      <c r="A130" s="356" t="s">
        <v>933</v>
      </c>
      <c r="B130" s="357" t="s">
        <v>321</v>
      </c>
      <c r="C130" s="357" t="s">
        <v>322</v>
      </c>
      <c r="D130" s="358" t="s">
        <v>704</v>
      </c>
      <c r="E130" s="397">
        <v>1</v>
      </c>
    </row>
    <row r="131" spans="1:5" s="145" customFormat="1" hidden="1" outlineLevel="2" x14ac:dyDescent="0.2">
      <c r="A131" s="354" t="s">
        <v>947</v>
      </c>
      <c r="B131" s="355"/>
      <c r="C131" s="355" t="s">
        <v>374</v>
      </c>
      <c r="D131" s="336" t="s">
        <v>704</v>
      </c>
      <c r="E131" s="398">
        <v>1</v>
      </c>
    </row>
    <row r="132" spans="1:5" s="145" customFormat="1" hidden="1" outlineLevel="2" x14ac:dyDescent="0.2">
      <c r="A132" s="354" t="s">
        <v>948</v>
      </c>
      <c r="B132" s="355"/>
      <c r="C132" s="355" t="s">
        <v>475</v>
      </c>
      <c r="D132" s="336" t="s">
        <v>704</v>
      </c>
      <c r="E132" s="398">
        <v>1</v>
      </c>
    </row>
    <row r="133" spans="1:5" s="145" customFormat="1" ht="31.5" hidden="1" outlineLevel="2" x14ac:dyDescent="0.2">
      <c r="A133" s="354" t="s">
        <v>949</v>
      </c>
      <c r="B133" s="355" t="s">
        <v>334</v>
      </c>
      <c r="C133" s="355" t="s">
        <v>493</v>
      </c>
      <c r="D133" s="336" t="s">
        <v>704</v>
      </c>
      <c r="E133" s="398">
        <v>1</v>
      </c>
    </row>
    <row r="134" spans="1:5" hidden="1" outlineLevel="1" x14ac:dyDescent="0.2">
      <c r="A134" s="356" t="s">
        <v>934</v>
      </c>
      <c r="B134" s="357"/>
      <c r="C134" s="357" t="s">
        <v>806</v>
      </c>
      <c r="D134" s="358" t="s">
        <v>704</v>
      </c>
      <c r="E134" s="397">
        <v>1</v>
      </c>
    </row>
    <row r="135" spans="1:5" s="145" customFormat="1" hidden="1" outlineLevel="2" x14ac:dyDescent="0.2">
      <c r="A135" s="354" t="s">
        <v>950</v>
      </c>
      <c r="B135" s="355" t="s">
        <v>329</v>
      </c>
      <c r="C135" s="355" t="s">
        <v>806</v>
      </c>
      <c r="D135" s="336" t="s">
        <v>704</v>
      </c>
      <c r="E135" s="398">
        <v>1</v>
      </c>
    </row>
    <row r="136" spans="1:5" s="145" customFormat="1" ht="31.5" hidden="1" outlineLevel="2" x14ac:dyDescent="0.2">
      <c r="A136" s="354" t="s">
        <v>951</v>
      </c>
      <c r="B136" s="355" t="s">
        <v>334</v>
      </c>
      <c r="C136" s="355" t="s">
        <v>497</v>
      </c>
      <c r="D136" s="336" t="s">
        <v>704</v>
      </c>
      <c r="E136" s="398">
        <v>1</v>
      </c>
    </row>
    <row r="137" spans="1:5" hidden="1" outlineLevel="1" x14ac:dyDescent="0.2">
      <c r="A137" s="356" t="s">
        <v>935</v>
      </c>
      <c r="B137" s="357"/>
      <c r="C137" s="357" t="s">
        <v>807</v>
      </c>
      <c r="D137" s="358" t="s">
        <v>704</v>
      </c>
      <c r="E137" s="397">
        <v>1</v>
      </c>
    </row>
    <row r="138" spans="1:5" s="145" customFormat="1" hidden="1" outlineLevel="2" x14ac:dyDescent="0.2">
      <c r="A138" s="354" t="s">
        <v>952</v>
      </c>
      <c r="B138" s="355" t="s">
        <v>329</v>
      </c>
      <c r="C138" s="355" t="s">
        <v>807</v>
      </c>
      <c r="D138" s="336" t="s">
        <v>704</v>
      </c>
      <c r="E138" s="398">
        <v>1</v>
      </c>
    </row>
    <row r="139" spans="1:5" s="145" customFormat="1" ht="31.5" hidden="1" outlineLevel="2" x14ac:dyDescent="0.2">
      <c r="A139" s="354" t="s">
        <v>953</v>
      </c>
      <c r="B139" s="355" t="s">
        <v>334</v>
      </c>
      <c r="C139" s="355" t="s">
        <v>497</v>
      </c>
      <c r="D139" s="336" t="s">
        <v>704</v>
      </c>
      <c r="E139" s="398">
        <v>1</v>
      </c>
    </row>
    <row r="140" spans="1:5" hidden="1" outlineLevel="1" x14ac:dyDescent="0.2">
      <c r="A140" s="356" t="s">
        <v>936</v>
      </c>
      <c r="B140" s="357"/>
      <c r="C140" s="357" t="s">
        <v>808</v>
      </c>
      <c r="D140" s="358" t="s">
        <v>704</v>
      </c>
      <c r="E140" s="397">
        <v>1</v>
      </c>
    </row>
    <row r="141" spans="1:5" s="145" customFormat="1" hidden="1" outlineLevel="2" x14ac:dyDescent="0.2">
      <c r="A141" s="354" t="s">
        <v>954</v>
      </c>
      <c r="B141" s="355" t="s">
        <v>329</v>
      </c>
      <c r="C141" s="355" t="s">
        <v>808</v>
      </c>
      <c r="D141" s="336" t="s">
        <v>704</v>
      </c>
      <c r="E141" s="398">
        <v>1</v>
      </c>
    </row>
    <row r="142" spans="1:5" s="145" customFormat="1" ht="31.5" hidden="1" outlineLevel="2" x14ac:dyDescent="0.2">
      <c r="A142" s="354" t="s">
        <v>955</v>
      </c>
      <c r="B142" s="355" t="s">
        <v>334</v>
      </c>
      <c r="C142" s="355" t="s">
        <v>497</v>
      </c>
      <c r="D142" s="336" t="s">
        <v>704</v>
      </c>
      <c r="E142" s="398">
        <v>1</v>
      </c>
    </row>
    <row r="143" spans="1:5" ht="63" collapsed="1" x14ac:dyDescent="0.2">
      <c r="A143" s="350" t="s">
        <v>675</v>
      </c>
      <c r="B143" s="349" t="s">
        <v>1054</v>
      </c>
      <c r="C143" s="349" t="s">
        <v>1006</v>
      </c>
      <c r="D143" s="329" t="s">
        <v>704</v>
      </c>
      <c r="E143" s="392">
        <v>1</v>
      </c>
    </row>
    <row r="144" spans="1:5" s="145" customFormat="1" hidden="1" outlineLevel="1" x14ac:dyDescent="0.2">
      <c r="A144" s="356" t="s">
        <v>937</v>
      </c>
      <c r="B144" s="357" t="s">
        <v>319</v>
      </c>
      <c r="C144" s="357" t="s">
        <v>320</v>
      </c>
      <c r="D144" s="358" t="s">
        <v>704</v>
      </c>
      <c r="E144" s="397">
        <v>1</v>
      </c>
    </row>
    <row r="145" spans="1:5" s="145" customFormat="1" hidden="1" outlineLevel="1" x14ac:dyDescent="0.2">
      <c r="A145" s="354" t="s">
        <v>956</v>
      </c>
      <c r="B145" s="355"/>
      <c r="C145" s="355" t="s">
        <v>374</v>
      </c>
      <c r="D145" s="336" t="s">
        <v>704</v>
      </c>
      <c r="E145" s="398">
        <v>1</v>
      </c>
    </row>
    <row r="146" spans="1:5" s="145" customFormat="1" hidden="1" outlineLevel="1" x14ac:dyDescent="0.2">
      <c r="A146" s="354" t="s">
        <v>957</v>
      </c>
      <c r="B146" s="355"/>
      <c r="C146" s="355" t="s">
        <v>472</v>
      </c>
      <c r="D146" s="336" t="s">
        <v>704</v>
      </c>
      <c r="E146" s="398">
        <v>1</v>
      </c>
    </row>
    <row r="147" spans="1:5" s="145" customFormat="1" ht="31.5" hidden="1" outlineLevel="1" x14ac:dyDescent="0.2">
      <c r="A147" s="354" t="s">
        <v>958</v>
      </c>
      <c r="B147" s="355" t="s">
        <v>334</v>
      </c>
      <c r="C147" s="355" t="s">
        <v>492</v>
      </c>
      <c r="D147" s="336" t="s">
        <v>704</v>
      </c>
      <c r="E147" s="398">
        <v>1</v>
      </c>
    </row>
    <row r="148" spans="1:5" s="145" customFormat="1" hidden="1" outlineLevel="1" x14ac:dyDescent="0.2">
      <c r="A148" s="356" t="s">
        <v>938</v>
      </c>
      <c r="B148" s="357" t="s">
        <v>323</v>
      </c>
      <c r="C148" s="357" t="s">
        <v>324</v>
      </c>
      <c r="D148" s="358" t="s">
        <v>704</v>
      </c>
      <c r="E148" s="397">
        <v>1</v>
      </c>
    </row>
    <row r="149" spans="1:5" s="145" customFormat="1" hidden="1" outlineLevel="1" x14ac:dyDescent="0.2">
      <c r="A149" s="354" t="s">
        <v>959</v>
      </c>
      <c r="B149" s="355"/>
      <c r="C149" s="355" t="s">
        <v>374</v>
      </c>
      <c r="D149" s="336" t="s">
        <v>704</v>
      </c>
      <c r="E149" s="398">
        <v>1</v>
      </c>
    </row>
    <row r="150" spans="1:5" s="145" customFormat="1" hidden="1" outlineLevel="1" x14ac:dyDescent="0.2">
      <c r="A150" s="354" t="s">
        <v>960</v>
      </c>
      <c r="B150" s="355"/>
      <c r="C150" s="355" t="s">
        <v>476</v>
      </c>
      <c r="D150" s="336" t="s">
        <v>704</v>
      </c>
      <c r="E150" s="398">
        <v>1</v>
      </c>
    </row>
    <row r="151" spans="1:5" s="145" customFormat="1" ht="31.5" hidden="1" outlineLevel="1" x14ac:dyDescent="0.2">
      <c r="A151" s="354" t="s">
        <v>961</v>
      </c>
      <c r="B151" s="355" t="s">
        <v>334</v>
      </c>
      <c r="C151" s="355" t="s">
        <v>494</v>
      </c>
      <c r="D151" s="336" t="s">
        <v>704</v>
      </c>
      <c r="E151" s="398">
        <v>1</v>
      </c>
    </row>
    <row r="152" spans="1:5" s="145" customFormat="1" hidden="1" outlineLevel="1" x14ac:dyDescent="0.2">
      <c r="A152" s="356" t="s">
        <v>939</v>
      </c>
      <c r="B152" s="357" t="s">
        <v>325</v>
      </c>
      <c r="C152" s="357" t="s">
        <v>326</v>
      </c>
      <c r="D152" s="358" t="s">
        <v>704</v>
      </c>
      <c r="E152" s="397">
        <v>1</v>
      </c>
    </row>
    <row r="153" spans="1:5" s="145" customFormat="1" ht="31.5" hidden="1" outlineLevel="1" x14ac:dyDescent="0.2">
      <c r="A153" s="354" t="s">
        <v>962</v>
      </c>
      <c r="B153" s="355"/>
      <c r="C153" s="355" t="s">
        <v>477</v>
      </c>
      <c r="D153" s="336" t="s">
        <v>704</v>
      </c>
      <c r="E153" s="398">
        <v>1</v>
      </c>
    </row>
    <row r="154" spans="1:5" s="145" customFormat="1" ht="31.5" hidden="1" outlineLevel="1" x14ac:dyDescent="0.2">
      <c r="A154" s="354" t="s">
        <v>963</v>
      </c>
      <c r="B154" s="355"/>
      <c r="C154" s="355" t="s">
        <v>478</v>
      </c>
      <c r="D154" s="336" t="s">
        <v>704</v>
      </c>
      <c r="E154" s="398">
        <v>1</v>
      </c>
    </row>
    <row r="155" spans="1:5" s="145" customFormat="1" ht="31.5" hidden="1" outlineLevel="1" x14ac:dyDescent="0.2">
      <c r="A155" s="354" t="s">
        <v>964</v>
      </c>
      <c r="B155" s="355"/>
      <c r="C155" s="355" t="s">
        <v>495</v>
      </c>
      <c r="D155" s="336" t="s">
        <v>704</v>
      </c>
      <c r="E155" s="398">
        <v>1</v>
      </c>
    </row>
    <row r="156" spans="1:5" s="145" customFormat="1" hidden="1" outlineLevel="1" x14ac:dyDescent="0.2">
      <c r="A156" s="356" t="s">
        <v>965</v>
      </c>
      <c r="B156" s="357" t="s">
        <v>327</v>
      </c>
      <c r="C156" s="357" t="s">
        <v>328</v>
      </c>
      <c r="D156" s="358" t="s">
        <v>704</v>
      </c>
      <c r="E156" s="397">
        <v>1</v>
      </c>
    </row>
    <row r="157" spans="1:5" s="145" customFormat="1" hidden="1" outlineLevel="1" x14ac:dyDescent="0.2">
      <c r="A157" s="354" t="s">
        <v>966</v>
      </c>
      <c r="B157" s="355"/>
      <c r="C157" s="355" t="s">
        <v>479</v>
      </c>
      <c r="D157" s="336" t="s">
        <v>704</v>
      </c>
      <c r="E157" s="398">
        <v>1</v>
      </c>
    </row>
    <row r="158" spans="1:5" s="145" customFormat="1" hidden="1" outlineLevel="1" x14ac:dyDescent="0.2">
      <c r="A158" s="354" t="s">
        <v>967</v>
      </c>
      <c r="B158" s="355"/>
      <c r="C158" s="355" t="s">
        <v>480</v>
      </c>
      <c r="D158" s="336" t="s">
        <v>704</v>
      </c>
      <c r="E158" s="398">
        <v>1</v>
      </c>
    </row>
    <row r="159" spans="1:5" s="145" customFormat="1" hidden="1" outlineLevel="1" x14ac:dyDescent="0.2">
      <c r="A159" s="354" t="s">
        <v>968</v>
      </c>
      <c r="B159" s="355"/>
      <c r="C159" s="355" t="s">
        <v>485</v>
      </c>
      <c r="D159" s="336" t="s">
        <v>704</v>
      </c>
      <c r="E159" s="398">
        <v>1</v>
      </c>
    </row>
    <row r="160" spans="1:5" s="145" customFormat="1" hidden="1" outlineLevel="1" x14ac:dyDescent="0.2">
      <c r="A160" s="354" t="s">
        <v>969</v>
      </c>
      <c r="B160" s="355"/>
      <c r="C160" s="355" t="s">
        <v>486</v>
      </c>
      <c r="D160" s="336" t="s">
        <v>704</v>
      </c>
      <c r="E160" s="398">
        <v>1</v>
      </c>
    </row>
    <row r="161" spans="1:5" s="145" customFormat="1" hidden="1" outlineLevel="1" x14ac:dyDescent="0.2">
      <c r="A161" s="354" t="s">
        <v>970</v>
      </c>
      <c r="B161" s="355"/>
      <c r="C161" s="355" t="s">
        <v>484</v>
      </c>
      <c r="D161" s="336" t="s">
        <v>704</v>
      </c>
      <c r="E161" s="398">
        <v>1</v>
      </c>
    </row>
    <row r="162" spans="1:5" s="145" customFormat="1" hidden="1" outlineLevel="1" x14ac:dyDescent="0.2">
      <c r="A162" s="354" t="s">
        <v>971</v>
      </c>
      <c r="B162" s="355"/>
      <c r="C162" s="355" t="s">
        <v>481</v>
      </c>
      <c r="D162" s="336" t="s">
        <v>704</v>
      </c>
      <c r="E162" s="398">
        <v>1</v>
      </c>
    </row>
    <row r="163" spans="1:5" s="145" customFormat="1" hidden="1" outlineLevel="1" x14ac:dyDescent="0.2">
      <c r="A163" s="354" t="s">
        <v>972</v>
      </c>
      <c r="B163" s="355"/>
      <c r="C163" s="355" t="s">
        <v>482</v>
      </c>
      <c r="D163" s="336" t="s">
        <v>704</v>
      </c>
      <c r="E163" s="398">
        <v>1</v>
      </c>
    </row>
    <row r="164" spans="1:5" s="145" customFormat="1" hidden="1" outlineLevel="1" x14ac:dyDescent="0.2">
      <c r="A164" s="354" t="s">
        <v>973</v>
      </c>
      <c r="B164" s="355"/>
      <c r="C164" s="355" t="s">
        <v>483</v>
      </c>
      <c r="D164" s="336" t="s">
        <v>704</v>
      </c>
      <c r="E164" s="398">
        <v>1</v>
      </c>
    </row>
    <row r="165" spans="1:5" s="145" customFormat="1" hidden="1" outlineLevel="1" x14ac:dyDescent="0.2">
      <c r="A165" s="354" t="s">
        <v>974</v>
      </c>
      <c r="B165" s="355"/>
      <c r="C165" s="355" t="s">
        <v>487</v>
      </c>
      <c r="D165" s="336" t="s">
        <v>704</v>
      </c>
      <c r="E165" s="398">
        <v>1</v>
      </c>
    </row>
    <row r="166" spans="1:5" s="145" customFormat="1" ht="31.5" hidden="1" outlineLevel="1" x14ac:dyDescent="0.2">
      <c r="A166" s="354" t="s">
        <v>975</v>
      </c>
      <c r="B166" s="355" t="s">
        <v>334</v>
      </c>
      <c r="C166" s="355" t="s">
        <v>496</v>
      </c>
      <c r="D166" s="336" t="s">
        <v>704</v>
      </c>
      <c r="E166" s="398">
        <v>1</v>
      </c>
    </row>
    <row r="167" spans="1:5" s="145" customFormat="1" ht="31.5" hidden="1" outlineLevel="1" x14ac:dyDescent="0.2">
      <c r="A167" s="356" t="s">
        <v>976</v>
      </c>
      <c r="B167" s="357"/>
      <c r="C167" s="357" t="s">
        <v>809</v>
      </c>
      <c r="D167" s="358" t="s">
        <v>704</v>
      </c>
      <c r="E167" s="397">
        <v>1</v>
      </c>
    </row>
    <row r="168" spans="1:5" s="145" customFormat="1" ht="31.5" hidden="1" outlineLevel="1" x14ac:dyDescent="0.2">
      <c r="A168" s="354" t="s">
        <v>977</v>
      </c>
      <c r="B168" s="355" t="s">
        <v>329</v>
      </c>
      <c r="C168" s="355" t="s">
        <v>809</v>
      </c>
      <c r="D168" s="336" t="s">
        <v>704</v>
      </c>
      <c r="E168" s="398">
        <v>1</v>
      </c>
    </row>
    <row r="169" spans="1:5" s="145" customFormat="1" ht="31.5" hidden="1" outlineLevel="1" x14ac:dyDescent="0.2">
      <c r="A169" s="354" t="s">
        <v>978</v>
      </c>
      <c r="B169" s="355" t="s">
        <v>334</v>
      </c>
      <c r="C169" s="355" t="s">
        <v>497</v>
      </c>
      <c r="D169" s="336" t="s">
        <v>704</v>
      </c>
      <c r="E169" s="398">
        <v>1</v>
      </c>
    </row>
    <row r="170" spans="1:5" ht="63" collapsed="1" x14ac:dyDescent="0.2">
      <c r="A170" s="350" t="s">
        <v>676</v>
      </c>
      <c r="B170" s="349" t="s">
        <v>1055</v>
      </c>
      <c r="C170" s="349" t="s">
        <v>1007</v>
      </c>
      <c r="D170" s="329" t="s">
        <v>704</v>
      </c>
      <c r="E170" s="392">
        <v>1</v>
      </c>
    </row>
    <row r="171" spans="1:5" s="145" customFormat="1" ht="31.5" hidden="1" outlineLevel="1" x14ac:dyDescent="0.2">
      <c r="A171" s="357" t="s">
        <v>979</v>
      </c>
      <c r="B171" s="357"/>
      <c r="C171" s="357" t="s">
        <v>810</v>
      </c>
      <c r="D171" s="358" t="s">
        <v>704</v>
      </c>
      <c r="E171" s="397">
        <v>1</v>
      </c>
    </row>
    <row r="172" spans="1:5" s="145" customFormat="1" ht="31.5" hidden="1" outlineLevel="1" x14ac:dyDescent="0.2">
      <c r="A172" s="355" t="s">
        <v>980</v>
      </c>
      <c r="B172" s="355" t="s">
        <v>329</v>
      </c>
      <c r="C172" s="355" t="s">
        <v>810</v>
      </c>
      <c r="D172" s="366" t="s">
        <v>704</v>
      </c>
      <c r="E172" s="399">
        <v>1</v>
      </c>
    </row>
    <row r="173" spans="1:5" s="145" customFormat="1" ht="31.5" hidden="1" outlineLevel="1" x14ac:dyDescent="0.2">
      <c r="A173" s="355" t="s">
        <v>981</v>
      </c>
      <c r="B173" s="355" t="s">
        <v>334</v>
      </c>
      <c r="C173" s="355" t="s">
        <v>497</v>
      </c>
      <c r="D173" s="366" t="s">
        <v>704</v>
      </c>
      <c r="E173" s="399">
        <v>1</v>
      </c>
    </row>
    <row r="174" spans="1:5" s="145" customFormat="1" hidden="1" outlineLevel="1" x14ac:dyDescent="0.2">
      <c r="A174" s="357" t="s">
        <v>982</v>
      </c>
      <c r="B174" s="357" t="s">
        <v>330</v>
      </c>
      <c r="C174" s="357" t="s">
        <v>324</v>
      </c>
      <c r="D174" s="358" t="s">
        <v>704</v>
      </c>
      <c r="E174" s="397">
        <v>1</v>
      </c>
    </row>
    <row r="175" spans="1:5" s="145" customFormat="1" hidden="1" outlineLevel="1" x14ac:dyDescent="0.2">
      <c r="A175" s="355" t="s">
        <v>983</v>
      </c>
      <c r="B175" s="355"/>
      <c r="C175" s="355" t="s">
        <v>374</v>
      </c>
      <c r="D175" s="336" t="s">
        <v>704</v>
      </c>
      <c r="E175" s="398">
        <v>1</v>
      </c>
    </row>
    <row r="176" spans="1:5" s="145" customFormat="1" hidden="1" outlineLevel="1" x14ac:dyDescent="0.2">
      <c r="A176" s="355" t="s">
        <v>984</v>
      </c>
      <c r="B176" s="355"/>
      <c r="C176" s="355" t="s">
        <v>476</v>
      </c>
      <c r="D176" s="336" t="s">
        <v>704</v>
      </c>
      <c r="E176" s="398">
        <v>1</v>
      </c>
    </row>
    <row r="177" spans="1:5" s="145" customFormat="1" ht="31.5" hidden="1" outlineLevel="1" x14ac:dyDescent="0.2">
      <c r="A177" s="355" t="s">
        <v>985</v>
      </c>
      <c r="B177" s="355" t="s">
        <v>334</v>
      </c>
      <c r="C177" s="355" t="s">
        <v>498</v>
      </c>
      <c r="D177" s="336" t="s">
        <v>704</v>
      </c>
      <c r="E177" s="398">
        <v>1</v>
      </c>
    </row>
    <row r="178" spans="1:5" s="145" customFormat="1" hidden="1" outlineLevel="1" x14ac:dyDescent="0.2">
      <c r="A178" s="357" t="s">
        <v>986</v>
      </c>
      <c r="B178" s="357" t="s">
        <v>331</v>
      </c>
      <c r="C178" s="357" t="s">
        <v>332</v>
      </c>
      <c r="D178" s="358" t="s">
        <v>704</v>
      </c>
      <c r="E178" s="397">
        <v>1</v>
      </c>
    </row>
    <row r="179" spans="1:5" s="145" customFormat="1" hidden="1" outlineLevel="1" x14ac:dyDescent="0.2">
      <c r="A179" s="355" t="s">
        <v>987</v>
      </c>
      <c r="B179" s="355"/>
      <c r="C179" s="355" t="s">
        <v>488</v>
      </c>
      <c r="D179" s="366" t="s">
        <v>704</v>
      </c>
      <c r="E179" s="399">
        <v>1</v>
      </c>
    </row>
    <row r="180" spans="1:5" s="145" customFormat="1" ht="31.5" hidden="1" outlineLevel="1" x14ac:dyDescent="0.2">
      <c r="A180" s="355" t="s">
        <v>988</v>
      </c>
      <c r="B180" s="355"/>
      <c r="C180" s="355" t="s">
        <v>489</v>
      </c>
      <c r="D180" s="366" t="s">
        <v>704</v>
      </c>
      <c r="E180" s="399">
        <v>1</v>
      </c>
    </row>
    <row r="181" spans="1:5" s="145" customFormat="1" ht="31.5" hidden="1" outlineLevel="1" x14ac:dyDescent="0.2">
      <c r="A181" s="355" t="s">
        <v>989</v>
      </c>
      <c r="B181" s="355"/>
      <c r="C181" s="355" t="s">
        <v>490</v>
      </c>
      <c r="D181" s="366" t="s">
        <v>704</v>
      </c>
      <c r="E181" s="399">
        <v>1</v>
      </c>
    </row>
    <row r="182" spans="1:5" s="145" customFormat="1" ht="31.5" hidden="1" outlineLevel="1" x14ac:dyDescent="0.2">
      <c r="A182" s="355" t="s">
        <v>990</v>
      </c>
      <c r="B182" s="355"/>
      <c r="C182" s="355" t="s">
        <v>499</v>
      </c>
      <c r="D182" s="366" t="s">
        <v>704</v>
      </c>
      <c r="E182" s="399">
        <v>1</v>
      </c>
    </row>
    <row r="183" spans="1:5" s="145" customFormat="1" ht="31.5" hidden="1" outlineLevel="1" x14ac:dyDescent="0.2">
      <c r="A183" s="357" t="s">
        <v>991</v>
      </c>
      <c r="B183" s="357"/>
      <c r="C183" s="357" t="s">
        <v>862</v>
      </c>
      <c r="D183" s="358" t="s">
        <v>704</v>
      </c>
      <c r="E183" s="397">
        <v>1</v>
      </c>
    </row>
    <row r="184" spans="1:5" s="145" customFormat="1" ht="31.5" hidden="1" outlineLevel="1" x14ac:dyDescent="0.2">
      <c r="A184" s="355" t="s">
        <v>992</v>
      </c>
      <c r="B184" s="355" t="s">
        <v>333</v>
      </c>
      <c r="C184" s="355" t="s">
        <v>862</v>
      </c>
      <c r="D184" s="366" t="s">
        <v>704</v>
      </c>
      <c r="E184" s="399">
        <v>1</v>
      </c>
    </row>
    <row r="185" spans="1:5" s="145" customFormat="1" ht="31.5" hidden="1" outlineLevel="1" x14ac:dyDescent="0.2">
      <c r="A185" s="355" t="s">
        <v>993</v>
      </c>
      <c r="B185" s="355" t="s">
        <v>334</v>
      </c>
      <c r="C185" s="355" t="s">
        <v>500</v>
      </c>
      <c r="D185" s="366" t="s">
        <v>704</v>
      </c>
      <c r="E185" s="399">
        <v>1</v>
      </c>
    </row>
    <row r="186" spans="1:5" s="145" customFormat="1" collapsed="1" x14ac:dyDescent="0.2">
      <c r="A186" s="134" t="s">
        <v>677</v>
      </c>
      <c r="B186" s="347" t="s">
        <v>41</v>
      </c>
      <c r="C186" s="133" t="s">
        <v>42</v>
      </c>
      <c r="D186" s="319" t="s">
        <v>704</v>
      </c>
      <c r="E186" s="400">
        <v>1</v>
      </c>
    </row>
    <row r="187" spans="1:5" ht="31.5" hidden="1" outlineLevel="1" x14ac:dyDescent="0.2">
      <c r="A187" s="326" t="s">
        <v>622</v>
      </c>
      <c r="B187" s="346"/>
      <c r="C187" s="327" t="s">
        <v>505</v>
      </c>
      <c r="D187" s="329" t="s">
        <v>704</v>
      </c>
      <c r="E187" s="392">
        <v>1</v>
      </c>
    </row>
    <row r="188" spans="1:5" ht="31.5" hidden="1" outlineLevel="1" x14ac:dyDescent="0.2">
      <c r="A188" s="326" t="s">
        <v>594</v>
      </c>
      <c r="B188" s="346"/>
      <c r="C188" s="327" t="s">
        <v>506</v>
      </c>
      <c r="D188" s="329" t="s">
        <v>704</v>
      </c>
      <c r="E188" s="392">
        <v>1</v>
      </c>
    </row>
    <row r="189" spans="1:5" hidden="1" outlineLevel="1" x14ac:dyDescent="0.2">
      <c r="A189" s="326" t="s">
        <v>623</v>
      </c>
      <c r="B189" s="346"/>
      <c r="C189" s="327" t="s">
        <v>507</v>
      </c>
      <c r="D189" s="329" t="s">
        <v>704</v>
      </c>
      <c r="E189" s="392">
        <v>1</v>
      </c>
    </row>
    <row r="190" spans="1:5" ht="26.25" hidden="1" customHeight="1" outlineLevel="1" x14ac:dyDescent="0.2">
      <c r="A190" s="326" t="s">
        <v>624</v>
      </c>
      <c r="B190" s="346"/>
      <c r="C190" s="327" t="s">
        <v>508</v>
      </c>
      <c r="D190" s="329" t="s">
        <v>704</v>
      </c>
      <c r="E190" s="392">
        <v>1</v>
      </c>
    </row>
    <row r="191" spans="1:5" ht="12.75" hidden="1" customHeight="1" outlineLevel="1" x14ac:dyDescent="0.2">
      <c r="A191" s="326" t="s">
        <v>627</v>
      </c>
      <c r="B191" s="346"/>
      <c r="C191" s="327" t="s">
        <v>512</v>
      </c>
      <c r="D191" s="329" t="s">
        <v>704</v>
      </c>
      <c r="E191" s="392">
        <v>1</v>
      </c>
    </row>
    <row r="192" spans="1:5" ht="26.25" hidden="1" customHeight="1" outlineLevel="1" x14ac:dyDescent="0.2">
      <c r="A192" s="326" t="s">
        <v>628</v>
      </c>
      <c r="B192" s="346"/>
      <c r="C192" s="327" t="s">
        <v>513</v>
      </c>
      <c r="D192" s="329" t="s">
        <v>704</v>
      </c>
      <c r="E192" s="392">
        <v>1</v>
      </c>
    </row>
    <row r="193" spans="1:5" hidden="1" outlineLevel="1" x14ac:dyDescent="0.2">
      <c r="A193" s="326" t="s">
        <v>629</v>
      </c>
      <c r="B193" s="346"/>
      <c r="C193" s="327" t="s">
        <v>514</v>
      </c>
      <c r="D193" s="329" t="s">
        <v>704</v>
      </c>
      <c r="E193" s="392">
        <v>1</v>
      </c>
    </row>
    <row r="194" spans="1:5" s="142" customFormat="1" ht="19.5" customHeight="1" collapsed="1" x14ac:dyDescent="0.2">
      <c r="A194" s="134" t="s">
        <v>678</v>
      </c>
      <c r="B194" s="347" t="s">
        <v>43</v>
      </c>
      <c r="C194" s="133" t="s">
        <v>44</v>
      </c>
      <c r="D194" s="319" t="s">
        <v>704</v>
      </c>
      <c r="E194" s="400">
        <v>1</v>
      </c>
    </row>
    <row r="195" spans="1:5" ht="14.25" hidden="1" customHeight="1" outlineLevel="1" x14ac:dyDescent="0.2">
      <c r="A195" s="326" t="s">
        <v>622</v>
      </c>
      <c r="B195" s="346"/>
      <c r="C195" s="327" t="s">
        <v>515</v>
      </c>
      <c r="D195" s="329" t="s">
        <v>704</v>
      </c>
      <c r="E195" s="392">
        <v>1</v>
      </c>
    </row>
    <row r="196" spans="1:5" ht="33" hidden="1" customHeight="1" outlineLevel="1" x14ac:dyDescent="0.2">
      <c r="A196" s="326" t="s">
        <v>594</v>
      </c>
      <c r="B196" s="346"/>
      <c r="C196" s="327" t="s">
        <v>517</v>
      </c>
      <c r="D196" s="329" t="s">
        <v>704</v>
      </c>
      <c r="E196" s="392">
        <v>1</v>
      </c>
    </row>
    <row r="197" spans="1:5" ht="24.75" hidden="1" customHeight="1" outlineLevel="1" x14ac:dyDescent="0.2">
      <c r="A197" s="326" t="s">
        <v>623</v>
      </c>
      <c r="B197" s="346"/>
      <c r="C197" s="327" t="s">
        <v>522</v>
      </c>
      <c r="D197" s="329" t="s">
        <v>704</v>
      </c>
      <c r="E197" s="392">
        <v>1</v>
      </c>
    </row>
    <row r="198" spans="1:5" ht="21.75" hidden="1" customHeight="1" outlineLevel="1" x14ac:dyDescent="0.2">
      <c r="A198" s="326" t="s">
        <v>624</v>
      </c>
      <c r="B198" s="346"/>
      <c r="C198" s="327" t="s">
        <v>523</v>
      </c>
      <c r="D198" s="329" t="s">
        <v>704</v>
      </c>
      <c r="E198" s="392">
        <v>1</v>
      </c>
    </row>
    <row r="199" spans="1:5" ht="26.25" hidden="1" customHeight="1" outlineLevel="1" x14ac:dyDescent="0.2">
      <c r="A199" s="326" t="s">
        <v>627</v>
      </c>
      <c r="B199" s="346"/>
      <c r="C199" s="327" t="s">
        <v>524</v>
      </c>
      <c r="D199" s="329" t="s">
        <v>704</v>
      </c>
      <c r="E199" s="392">
        <v>1</v>
      </c>
    </row>
    <row r="200" spans="1:5" ht="26.25" hidden="1" customHeight="1" outlineLevel="1" x14ac:dyDescent="0.2">
      <c r="A200" s="326" t="s">
        <v>628</v>
      </c>
      <c r="B200" s="346"/>
      <c r="C200" s="327" t="s">
        <v>527</v>
      </c>
      <c r="D200" s="329" t="s">
        <v>704</v>
      </c>
      <c r="E200" s="392">
        <v>1</v>
      </c>
    </row>
    <row r="201" spans="1:5" ht="26.25" hidden="1" customHeight="1" outlineLevel="1" x14ac:dyDescent="0.2">
      <c r="A201" s="326" t="s">
        <v>629</v>
      </c>
      <c r="B201" s="346"/>
      <c r="C201" s="327" t="s">
        <v>528</v>
      </c>
      <c r="D201" s="329" t="s">
        <v>704</v>
      </c>
      <c r="E201" s="392">
        <v>1</v>
      </c>
    </row>
    <row r="202" spans="1:5" ht="33" hidden="1" customHeight="1" outlineLevel="1" x14ac:dyDescent="0.2">
      <c r="A202" s="326" t="s">
        <v>630</v>
      </c>
      <c r="B202" s="346"/>
      <c r="C202" s="327" t="s">
        <v>529</v>
      </c>
      <c r="D202" s="329" t="s">
        <v>704</v>
      </c>
      <c r="E202" s="392">
        <v>1</v>
      </c>
    </row>
    <row r="203" spans="1:5" ht="26.25" hidden="1" customHeight="1" outlineLevel="1" x14ac:dyDescent="0.2">
      <c r="A203" s="326" t="s">
        <v>631</v>
      </c>
      <c r="B203" s="346"/>
      <c r="C203" s="327" t="s">
        <v>532</v>
      </c>
      <c r="D203" s="329" t="s">
        <v>704</v>
      </c>
      <c r="E203" s="392">
        <v>1</v>
      </c>
    </row>
    <row r="204" spans="1:5" s="142" customFormat="1" ht="19.5" customHeight="1" collapsed="1" x14ac:dyDescent="0.2">
      <c r="A204" s="134" t="s">
        <v>679</v>
      </c>
      <c r="B204" s="347" t="s">
        <v>45</v>
      </c>
      <c r="C204" s="133" t="s">
        <v>46</v>
      </c>
      <c r="D204" s="319" t="s">
        <v>704</v>
      </c>
      <c r="E204" s="400">
        <v>1</v>
      </c>
    </row>
    <row r="205" spans="1:5" ht="24" hidden="1" customHeight="1" outlineLevel="1" x14ac:dyDescent="0.2">
      <c r="A205" s="326" t="s">
        <v>622</v>
      </c>
      <c r="B205" s="346"/>
      <c r="C205" s="327" t="s">
        <v>515</v>
      </c>
      <c r="D205" s="327"/>
      <c r="E205" s="401"/>
    </row>
    <row r="206" spans="1:5" ht="35.25" hidden="1" customHeight="1" outlineLevel="1" x14ac:dyDescent="0.2">
      <c r="A206" s="326" t="s">
        <v>594</v>
      </c>
      <c r="B206" s="346"/>
      <c r="C206" s="327" t="s">
        <v>524</v>
      </c>
      <c r="D206" s="327"/>
      <c r="E206" s="401"/>
    </row>
    <row r="207" spans="1:5" ht="23.25" hidden="1" customHeight="1" outlineLevel="1" x14ac:dyDescent="0.2">
      <c r="A207" s="326" t="s">
        <v>623</v>
      </c>
      <c r="B207" s="346"/>
      <c r="C207" s="327" t="s">
        <v>523</v>
      </c>
      <c r="D207" s="327"/>
      <c r="E207" s="401"/>
    </row>
    <row r="208" spans="1:5" ht="33" hidden="1" customHeight="1" outlineLevel="1" x14ac:dyDescent="0.2">
      <c r="A208" s="326" t="s">
        <v>624</v>
      </c>
      <c r="B208" s="346"/>
      <c r="C208" s="327" t="s">
        <v>524</v>
      </c>
      <c r="D208" s="327"/>
      <c r="E208" s="401"/>
    </row>
    <row r="209" spans="1:5" ht="26.25" hidden="1" customHeight="1" outlineLevel="1" x14ac:dyDescent="0.2">
      <c r="A209" s="326" t="s">
        <v>627</v>
      </c>
      <c r="B209" s="346"/>
      <c r="C209" s="327" t="s">
        <v>527</v>
      </c>
      <c r="D209" s="327"/>
      <c r="E209" s="401"/>
    </row>
    <row r="210" spans="1:5" ht="26.25" hidden="1" customHeight="1" outlineLevel="1" x14ac:dyDescent="0.2">
      <c r="A210" s="326" t="s">
        <v>628</v>
      </c>
      <c r="B210" s="346"/>
      <c r="C210" s="327" t="s">
        <v>528</v>
      </c>
      <c r="D210" s="327"/>
      <c r="E210" s="401"/>
    </row>
    <row r="211" spans="1:5" ht="26.25" hidden="1" customHeight="1" outlineLevel="1" x14ac:dyDescent="0.2">
      <c r="A211" s="326" t="s">
        <v>629</v>
      </c>
      <c r="B211" s="346"/>
      <c r="C211" s="327" t="s">
        <v>541</v>
      </c>
      <c r="D211" s="327"/>
      <c r="E211" s="401"/>
    </row>
    <row r="212" spans="1:5" ht="26.25" hidden="1" customHeight="1" outlineLevel="1" x14ac:dyDescent="0.2">
      <c r="A212" s="326" t="s">
        <v>630</v>
      </c>
      <c r="B212" s="346"/>
      <c r="C212" s="327" t="s">
        <v>532</v>
      </c>
      <c r="D212" s="327"/>
      <c r="E212" s="401"/>
    </row>
    <row r="213" spans="1:5" ht="23.25" customHeight="1" collapsed="1" x14ac:dyDescent="0.2">
      <c r="A213" s="134" t="s">
        <v>680</v>
      </c>
      <c r="B213" s="123"/>
      <c r="C213" s="126" t="s">
        <v>632</v>
      </c>
      <c r="D213" s="126"/>
      <c r="E213" s="394"/>
    </row>
    <row r="214" spans="1:5" s="142" customFormat="1" ht="30" customHeight="1" collapsed="1" x14ac:dyDescent="0.2">
      <c r="A214" s="132" t="s">
        <v>1009</v>
      </c>
      <c r="B214" s="132" t="s">
        <v>49</v>
      </c>
      <c r="C214" s="121" t="s">
        <v>50</v>
      </c>
      <c r="D214" s="329" t="s">
        <v>704</v>
      </c>
      <c r="E214" s="392">
        <v>1</v>
      </c>
    </row>
    <row r="215" spans="1:5" ht="17.25" hidden="1" customHeight="1" outlineLevel="1" x14ac:dyDescent="0.2">
      <c r="A215" s="375" t="s">
        <v>622</v>
      </c>
      <c r="B215" s="375"/>
      <c r="C215" s="376" t="s">
        <v>374</v>
      </c>
      <c r="D215" s="376"/>
      <c r="E215" s="393"/>
    </row>
    <row r="216" spans="1:5" ht="17.25" hidden="1" customHeight="1" outlineLevel="1" x14ac:dyDescent="0.2">
      <c r="A216" s="375" t="s">
        <v>594</v>
      </c>
      <c r="B216" s="375"/>
      <c r="C216" s="376" t="s">
        <v>545</v>
      </c>
      <c r="D216" s="376"/>
      <c r="E216" s="393"/>
    </row>
    <row r="217" spans="1:5" ht="17.25" hidden="1" customHeight="1" outlineLevel="1" x14ac:dyDescent="0.2">
      <c r="A217" s="375" t="s">
        <v>623</v>
      </c>
      <c r="B217" s="375"/>
      <c r="C217" s="376" t="s">
        <v>546</v>
      </c>
      <c r="D217" s="376"/>
      <c r="E217" s="393"/>
    </row>
    <row r="218" spans="1:5" ht="25.5" customHeight="1" collapsed="1" x14ac:dyDescent="0.2">
      <c r="A218" s="123"/>
      <c r="B218" s="123"/>
      <c r="C218" s="126" t="s">
        <v>633</v>
      </c>
      <c r="D218" s="126"/>
      <c r="E218" s="394"/>
    </row>
    <row r="219" spans="1:5" x14ac:dyDescent="0.2">
      <c r="A219" s="134" t="s">
        <v>681</v>
      </c>
      <c r="B219" s="134" t="s">
        <v>53</v>
      </c>
      <c r="C219" s="133" t="s">
        <v>54</v>
      </c>
      <c r="D219" s="342" t="s">
        <v>704</v>
      </c>
      <c r="E219" s="402">
        <v>1</v>
      </c>
    </row>
    <row r="220" spans="1:5" s="142" customFormat="1" ht="17.25" customHeight="1" x14ac:dyDescent="0.2">
      <c r="A220" s="326" t="s">
        <v>682</v>
      </c>
      <c r="B220" s="326" t="s">
        <v>335</v>
      </c>
      <c r="C220" s="327" t="s">
        <v>54</v>
      </c>
      <c r="D220" s="329" t="s">
        <v>704</v>
      </c>
      <c r="E220" s="392">
        <v>1</v>
      </c>
    </row>
    <row r="221" spans="1:5" s="137" customFormat="1" ht="17.25" hidden="1" customHeight="1" outlineLevel="1" x14ac:dyDescent="0.2">
      <c r="A221" s="375" t="s">
        <v>622</v>
      </c>
      <c r="B221" s="375"/>
      <c r="C221" s="376" t="s">
        <v>374</v>
      </c>
      <c r="D221" s="376"/>
      <c r="E221" s="393"/>
    </row>
    <row r="222" spans="1:5" s="137" customFormat="1" ht="17.25" hidden="1" customHeight="1" outlineLevel="1" x14ac:dyDescent="0.2">
      <c r="A222" s="375" t="s">
        <v>594</v>
      </c>
      <c r="B222" s="375"/>
      <c r="C222" s="376" t="s">
        <v>547</v>
      </c>
      <c r="D222" s="376"/>
      <c r="E222" s="393"/>
    </row>
    <row r="223" spans="1:5" s="137" customFormat="1" ht="17.25" hidden="1" customHeight="1" outlineLevel="1" x14ac:dyDescent="0.2">
      <c r="A223" s="375" t="s">
        <v>623</v>
      </c>
      <c r="B223" s="375"/>
      <c r="C223" s="376" t="s">
        <v>548</v>
      </c>
      <c r="D223" s="376"/>
      <c r="E223" s="393"/>
    </row>
    <row r="224" spans="1:5" s="137" customFormat="1" ht="17.25" hidden="1" customHeight="1" outlineLevel="1" x14ac:dyDescent="0.2">
      <c r="A224" s="375" t="s">
        <v>624</v>
      </c>
      <c r="B224" s="375"/>
      <c r="C224" s="376" t="s">
        <v>545</v>
      </c>
      <c r="D224" s="376"/>
      <c r="E224" s="393"/>
    </row>
    <row r="225" spans="1:6" s="137" customFormat="1" ht="17.25" hidden="1" customHeight="1" outlineLevel="1" x14ac:dyDescent="0.2">
      <c r="A225" s="375" t="s">
        <v>627</v>
      </c>
      <c r="B225" s="375"/>
      <c r="C225" s="376" t="s">
        <v>549</v>
      </c>
      <c r="D225" s="376"/>
      <c r="E225" s="393"/>
    </row>
    <row r="226" spans="1:6" s="137" customFormat="1" ht="17.25" hidden="1" customHeight="1" outlineLevel="1" x14ac:dyDescent="0.2">
      <c r="A226" s="375" t="s">
        <v>628</v>
      </c>
      <c r="B226" s="375"/>
      <c r="C226" s="376" t="s">
        <v>550</v>
      </c>
      <c r="D226" s="376"/>
      <c r="E226" s="393"/>
    </row>
    <row r="227" spans="1:6" s="137" customFormat="1" ht="17.25" hidden="1" customHeight="1" outlineLevel="1" x14ac:dyDescent="0.2">
      <c r="A227" s="375" t="s">
        <v>629</v>
      </c>
      <c r="B227" s="375"/>
      <c r="C227" s="376" t="s">
        <v>551</v>
      </c>
      <c r="D227" s="376"/>
      <c r="E227" s="393"/>
    </row>
    <row r="228" spans="1:6" s="137" customFormat="1" ht="17.25" hidden="1" customHeight="1" outlineLevel="1" x14ac:dyDescent="0.2">
      <c r="A228" s="375" t="s">
        <v>630</v>
      </c>
      <c r="B228" s="375"/>
      <c r="C228" s="376" t="s">
        <v>552</v>
      </c>
      <c r="D228" s="376"/>
      <c r="E228" s="393"/>
    </row>
    <row r="229" spans="1:6" s="142" customFormat="1" collapsed="1" x14ac:dyDescent="0.2">
      <c r="A229" s="326" t="s">
        <v>683</v>
      </c>
      <c r="B229" s="326" t="s">
        <v>336</v>
      </c>
      <c r="C229" s="327" t="s">
        <v>337</v>
      </c>
      <c r="D229" s="329" t="s">
        <v>704</v>
      </c>
      <c r="E229" s="392">
        <v>1</v>
      </c>
    </row>
    <row r="230" spans="1:6" ht="30.75" customHeight="1" x14ac:dyDescent="0.2">
      <c r="A230" s="134" t="s">
        <v>684</v>
      </c>
      <c r="B230" s="123"/>
      <c r="C230" s="126" t="s">
        <v>634</v>
      </c>
      <c r="D230" s="120" t="s">
        <v>704</v>
      </c>
      <c r="E230" s="391">
        <v>1</v>
      </c>
    </row>
    <row r="231" spans="1:6" s="121" customFormat="1" ht="29.25" customHeight="1" x14ac:dyDescent="0.2">
      <c r="A231" s="326" t="s">
        <v>1010</v>
      </c>
      <c r="B231" s="326" t="s">
        <v>57</v>
      </c>
      <c r="C231" s="327" t="s">
        <v>58</v>
      </c>
      <c r="D231" s="329" t="s">
        <v>704</v>
      </c>
      <c r="E231" s="392">
        <v>1</v>
      </c>
      <c r="F231" s="321"/>
    </row>
    <row r="232" spans="1:6" ht="17.25" hidden="1" customHeight="1" outlineLevel="1" x14ac:dyDescent="0.2">
      <c r="A232" s="375" t="s">
        <v>622</v>
      </c>
      <c r="B232" s="375"/>
      <c r="C232" s="376" t="s">
        <v>374</v>
      </c>
      <c r="D232" s="358" t="s">
        <v>704</v>
      </c>
      <c r="E232" s="397">
        <v>1</v>
      </c>
    </row>
    <row r="233" spans="1:6" ht="17.25" hidden="1" customHeight="1" outlineLevel="1" x14ac:dyDescent="0.2">
      <c r="A233" s="375" t="s">
        <v>594</v>
      </c>
      <c r="B233" s="375"/>
      <c r="C233" s="376" t="s">
        <v>556</v>
      </c>
      <c r="D233" s="358" t="s">
        <v>704</v>
      </c>
      <c r="E233" s="397">
        <v>1</v>
      </c>
    </row>
    <row r="234" spans="1:6" ht="17.25" hidden="1" customHeight="1" outlineLevel="1" x14ac:dyDescent="0.2">
      <c r="A234" s="375" t="s">
        <v>623</v>
      </c>
      <c r="B234" s="375"/>
      <c r="C234" s="376" t="s">
        <v>557</v>
      </c>
      <c r="D234" s="358" t="s">
        <v>704</v>
      </c>
      <c r="E234" s="397">
        <v>1</v>
      </c>
    </row>
    <row r="235" spans="1:6" ht="17.25" hidden="1" customHeight="1" outlineLevel="1" x14ac:dyDescent="0.2">
      <c r="A235" s="375" t="s">
        <v>624</v>
      </c>
      <c r="B235" s="375"/>
      <c r="C235" s="376" t="s">
        <v>558</v>
      </c>
      <c r="D235" s="358" t="s">
        <v>704</v>
      </c>
      <c r="E235" s="397">
        <v>1</v>
      </c>
    </row>
    <row r="236" spans="1:6" ht="33.75" hidden="1" customHeight="1" outlineLevel="1" x14ac:dyDescent="0.2">
      <c r="A236" s="375" t="s">
        <v>627</v>
      </c>
      <c r="B236" s="375"/>
      <c r="C236" s="376" t="s">
        <v>532</v>
      </c>
      <c r="D236" s="358" t="s">
        <v>704</v>
      </c>
      <c r="E236" s="397">
        <v>1</v>
      </c>
    </row>
    <row r="237" spans="1:6" s="121" customFormat="1" ht="29.25" customHeight="1" collapsed="1" x14ac:dyDescent="0.2">
      <c r="A237" s="326" t="s">
        <v>1011</v>
      </c>
      <c r="B237" s="326" t="s">
        <v>59</v>
      </c>
      <c r="C237" s="327" t="s">
        <v>60</v>
      </c>
      <c r="D237" s="329" t="s">
        <v>704</v>
      </c>
      <c r="E237" s="392">
        <v>1</v>
      </c>
      <c r="F237" s="321"/>
    </row>
    <row r="238" spans="1:6" ht="17.25" hidden="1" customHeight="1" outlineLevel="1" x14ac:dyDescent="0.2">
      <c r="A238" s="375" t="s">
        <v>622</v>
      </c>
      <c r="B238" s="375"/>
      <c r="C238" s="376" t="s">
        <v>374</v>
      </c>
      <c r="D238" s="358" t="s">
        <v>704</v>
      </c>
      <c r="E238" s="397">
        <v>1</v>
      </c>
    </row>
    <row r="239" spans="1:6" ht="17.25" hidden="1" customHeight="1" outlineLevel="1" x14ac:dyDescent="0.2">
      <c r="A239" s="375" t="s">
        <v>594</v>
      </c>
      <c r="B239" s="375"/>
      <c r="C239" s="376" t="s">
        <v>556</v>
      </c>
      <c r="D239" s="358" t="s">
        <v>704</v>
      </c>
      <c r="E239" s="397">
        <v>1</v>
      </c>
    </row>
    <row r="240" spans="1:6" ht="17.25" hidden="1" customHeight="1" outlineLevel="1" x14ac:dyDescent="0.2">
      <c r="A240" s="375" t="s">
        <v>623</v>
      </c>
      <c r="B240" s="375"/>
      <c r="C240" s="376" t="s">
        <v>566</v>
      </c>
      <c r="D240" s="358" t="s">
        <v>704</v>
      </c>
      <c r="E240" s="397">
        <v>1</v>
      </c>
    </row>
    <row r="241" spans="1:6" ht="17.25" hidden="1" customHeight="1" outlineLevel="1" x14ac:dyDescent="0.2">
      <c r="A241" s="375" t="s">
        <v>624</v>
      </c>
      <c r="B241" s="375"/>
      <c r="C241" s="376" t="s">
        <v>569</v>
      </c>
      <c r="D241" s="358" t="s">
        <v>704</v>
      </c>
      <c r="E241" s="397">
        <v>1</v>
      </c>
    </row>
    <row r="242" spans="1:6" ht="17.25" hidden="1" customHeight="1" outlineLevel="1" x14ac:dyDescent="0.2">
      <c r="A242" s="375" t="s">
        <v>627</v>
      </c>
      <c r="B242" s="375"/>
      <c r="C242" s="376" t="s">
        <v>570</v>
      </c>
      <c r="D242" s="358" t="s">
        <v>704</v>
      </c>
      <c r="E242" s="397">
        <v>1</v>
      </c>
    </row>
    <row r="243" spans="1:6" ht="18.75" hidden="1" customHeight="1" outlineLevel="1" x14ac:dyDescent="0.2">
      <c r="A243" s="375" t="s">
        <v>628</v>
      </c>
      <c r="B243" s="375"/>
      <c r="C243" s="376" t="s">
        <v>532</v>
      </c>
      <c r="D243" s="358" t="s">
        <v>704</v>
      </c>
      <c r="E243" s="397">
        <v>1</v>
      </c>
    </row>
    <row r="244" spans="1:6" s="121" customFormat="1" ht="30.75" customHeight="1" collapsed="1" x14ac:dyDescent="0.2">
      <c r="A244" s="326" t="s">
        <v>1012</v>
      </c>
      <c r="B244" s="326" t="s">
        <v>61</v>
      </c>
      <c r="C244" s="327" t="s">
        <v>62</v>
      </c>
      <c r="D244" s="329" t="s">
        <v>704</v>
      </c>
      <c r="E244" s="392">
        <v>1</v>
      </c>
      <c r="F244" s="321"/>
    </row>
    <row r="245" spans="1:6" ht="17.25" hidden="1" customHeight="1" outlineLevel="1" x14ac:dyDescent="0.2">
      <c r="A245" s="375">
        <v>1</v>
      </c>
      <c r="B245" s="375"/>
      <c r="C245" s="376" t="s">
        <v>374</v>
      </c>
      <c r="D245" s="376"/>
      <c r="E245" s="393"/>
    </row>
    <row r="246" spans="1:6" ht="17.25" hidden="1" customHeight="1" outlineLevel="1" x14ac:dyDescent="0.2">
      <c r="A246" s="375">
        <v>2</v>
      </c>
      <c r="B246" s="375"/>
      <c r="C246" s="376" t="s">
        <v>572</v>
      </c>
      <c r="D246" s="376"/>
      <c r="E246" s="393"/>
    </row>
    <row r="247" spans="1:6" ht="17.25" hidden="1" customHeight="1" outlineLevel="1" x14ac:dyDescent="0.2">
      <c r="A247" s="375">
        <v>3</v>
      </c>
      <c r="B247" s="375"/>
      <c r="C247" s="376" t="s">
        <v>573</v>
      </c>
      <c r="D247" s="376"/>
      <c r="E247" s="393"/>
    </row>
    <row r="248" spans="1:6" ht="17.25" hidden="1" customHeight="1" outlineLevel="1" x14ac:dyDescent="0.2">
      <c r="A248" s="375">
        <v>4</v>
      </c>
      <c r="B248" s="375"/>
      <c r="C248" s="376" t="s">
        <v>576</v>
      </c>
      <c r="D248" s="376"/>
      <c r="E248" s="393"/>
    </row>
    <row r="249" spans="1:6" ht="17.25" hidden="1" customHeight="1" outlineLevel="1" x14ac:dyDescent="0.2">
      <c r="A249" s="375">
        <v>5</v>
      </c>
      <c r="B249" s="375"/>
      <c r="C249" s="376" t="s">
        <v>561</v>
      </c>
      <c r="D249" s="376"/>
      <c r="E249" s="393"/>
    </row>
    <row r="250" spans="1:6" ht="29.25" customHeight="1" collapsed="1" x14ac:dyDescent="0.2">
      <c r="A250" s="123"/>
      <c r="B250" s="123"/>
      <c r="C250" s="126" t="s">
        <v>635</v>
      </c>
      <c r="D250" s="126"/>
      <c r="E250" s="394"/>
    </row>
    <row r="251" spans="1:6" s="145" customFormat="1" ht="31.5" x14ac:dyDescent="0.2">
      <c r="A251" s="134" t="s">
        <v>685</v>
      </c>
      <c r="B251" s="134" t="s">
        <v>65</v>
      </c>
      <c r="C251" s="133" t="s">
        <v>66</v>
      </c>
      <c r="D251" s="120" t="s">
        <v>704</v>
      </c>
      <c r="E251" s="391">
        <v>1</v>
      </c>
    </row>
    <row r="252" spans="1:6" s="142" customFormat="1" x14ac:dyDescent="0.2">
      <c r="A252" s="326" t="s">
        <v>1013</v>
      </c>
      <c r="B252" s="326" t="s">
        <v>272</v>
      </c>
      <c r="C252" s="327" t="s">
        <v>273</v>
      </c>
      <c r="D252" s="329" t="s">
        <v>704</v>
      </c>
      <c r="E252" s="392">
        <v>1</v>
      </c>
    </row>
    <row r="253" spans="1:6" hidden="1" outlineLevel="1" x14ac:dyDescent="0.2">
      <c r="A253" s="375" t="s">
        <v>622</v>
      </c>
      <c r="B253" s="375"/>
      <c r="C253" s="376" t="s">
        <v>399</v>
      </c>
      <c r="D253" s="358" t="s">
        <v>704</v>
      </c>
      <c r="E253" s="397">
        <v>1</v>
      </c>
    </row>
    <row r="254" spans="1:6" ht="31.5" hidden="1" outlineLevel="1" x14ac:dyDescent="0.2">
      <c r="A254" s="375" t="s">
        <v>594</v>
      </c>
      <c r="B254" s="375"/>
      <c r="C254" s="376" t="s">
        <v>401</v>
      </c>
      <c r="D254" s="358" t="s">
        <v>704</v>
      </c>
      <c r="E254" s="397">
        <v>1</v>
      </c>
    </row>
    <row r="255" spans="1:6" ht="17.25" hidden="1" customHeight="1" outlineLevel="1" x14ac:dyDescent="0.2">
      <c r="A255" s="375" t="s">
        <v>623</v>
      </c>
      <c r="B255" s="375"/>
      <c r="C255" s="376" t="s">
        <v>404</v>
      </c>
      <c r="D255" s="358" t="s">
        <v>704</v>
      </c>
      <c r="E255" s="397">
        <v>1</v>
      </c>
    </row>
    <row r="256" spans="1:6" s="142" customFormat="1" ht="17.25" customHeight="1" collapsed="1" x14ac:dyDescent="0.2">
      <c r="A256" s="326" t="s">
        <v>1014</v>
      </c>
      <c r="B256" s="326" t="s">
        <v>274</v>
      </c>
      <c r="C256" s="327" t="s">
        <v>275</v>
      </c>
      <c r="D256" s="329" t="s">
        <v>704</v>
      </c>
      <c r="E256" s="392">
        <v>1</v>
      </c>
    </row>
    <row r="257" spans="1:5" ht="24" hidden="1" customHeight="1" outlineLevel="1" x14ac:dyDescent="0.2">
      <c r="A257" s="380" t="s">
        <v>622</v>
      </c>
      <c r="B257" s="380"/>
      <c r="C257" s="376" t="s">
        <v>405</v>
      </c>
      <c r="D257" s="371" t="s">
        <v>704</v>
      </c>
      <c r="E257" s="403">
        <v>1</v>
      </c>
    </row>
    <row r="258" spans="1:5" ht="23.25" hidden="1" customHeight="1" outlineLevel="1" x14ac:dyDescent="0.2">
      <c r="A258" s="380" t="s">
        <v>594</v>
      </c>
      <c r="B258" s="380"/>
      <c r="C258" s="376" t="s">
        <v>407</v>
      </c>
      <c r="D258" s="371" t="s">
        <v>704</v>
      </c>
      <c r="E258" s="403">
        <v>1</v>
      </c>
    </row>
    <row r="259" spans="1:5" ht="35.25" hidden="1" customHeight="1" outlineLevel="1" x14ac:dyDescent="0.2">
      <c r="A259" s="380" t="s">
        <v>623</v>
      </c>
      <c r="B259" s="375" t="s">
        <v>276</v>
      </c>
      <c r="C259" s="376" t="s">
        <v>277</v>
      </c>
      <c r="D259" s="371" t="s">
        <v>704</v>
      </c>
      <c r="E259" s="403">
        <v>1</v>
      </c>
    </row>
    <row r="260" spans="1:5" s="145" customFormat="1" ht="31.5" collapsed="1" x14ac:dyDescent="0.2">
      <c r="A260" s="134" t="s">
        <v>686</v>
      </c>
      <c r="B260" s="134" t="s">
        <v>67</v>
      </c>
      <c r="C260" s="133" t="s">
        <v>68</v>
      </c>
      <c r="D260" s="120" t="s">
        <v>704</v>
      </c>
      <c r="E260" s="391">
        <v>1</v>
      </c>
    </row>
    <row r="261" spans="1:5" s="142" customFormat="1" ht="27.75" customHeight="1" x14ac:dyDescent="0.2">
      <c r="A261" s="326" t="s">
        <v>1015</v>
      </c>
      <c r="B261" s="326" t="s">
        <v>280</v>
      </c>
      <c r="C261" s="327" t="s">
        <v>281</v>
      </c>
      <c r="D261" s="329" t="s">
        <v>704</v>
      </c>
      <c r="E261" s="392">
        <v>1</v>
      </c>
    </row>
    <row r="262" spans="1:5" s="143" customFormat="1" ht="36" hidden="1" customHeight="1" outlineLevel="1" x14ac:dyDescent="0.2">
      <c r="A262" s="375" t="s">
        <v>622</v>
      </c>
      <c r="B262" s="375"/>
      <c r="C262" s="376" t="s">
        <v>399</v>
      </c>
      <c r="D262" s="358" t="s">
        <v>704</v>
      </c>
      <c r="E262" s="397">
        <v>1</v>
      </c>
    </row>
    <row r="263" spans="1:5" s="143" customFormat="1" ht="35.25" hidden="1" customHeight="1" outlineLevel="1" x14ac:dyDescent="0.2">
      <c r="A263" s="375" t="s">
        <v>594</v>
      </c>
      <c r="B263" s="375"/>
      <c r="C263" s="376" t="s">
        <v>401</v>
      </c>
      <c r="D263" s="358" t="s">
        <v>704</v>
      </c>
      <c r="E263" s="397">
        <v>1</v>
      </c>
    </row>
    <row r="264" spans="1:5" s="143" customFormat="1" ht="33.75" hidden="1" customHeight="1" outlineLevel="1" x14ac:dyDescent="0.2">
      <c r="A264" s="375" t="s">
        <v>623</v>
      </c>
      <c r="B264" s="375"/>
      <c r="C264" s="376" t="s">
        <v>404</v>
      </c>
      <c r="D264" s="358" t="s">
        <v>704</v>
      </c>
      <c r="E264" s="397">
        <v>1</v>
      </c>
    </row>
    <row r="265" spans="1:5" s="142" customFormat="1" ht="17.25" customHeight="1" collapsed="1" x14ac:dyDescent="0.2">
      <c r="A265" s="326" t="s">
        <v>1016</v>
      </c>
      <c r="B265" s="326" t="s">
        <v>282</v>
      </c>
      <c r="C265" s="327" t="s">
        <v>283</v>
      </c>
      <c r="D265" s="329" t="s">
        <v>704</v>
      </c>
      <c r="E265" s="392">
        <v>1</v>
      </c>
    </row>
    <row r="266" spans="1:5" s="143" customFormat="1" ht="18.75" hidden="1" customHeight="1" outlineLevel="1" x14ac:dyDescent="0.2">
      <c r="A266" s="375" t="s">
        <v>622</v>
      </c>
      <c r="B266" s="375"/>
      <c r="C266" s="376" t="s">
        <v>405</v>
      </c>
      <c r="D266" s="371" t="s">
        <v>704</v>
      </c>
      <c r="E266" s="403">
        <v>1</v>
      </c>
    </row>
    <row r="267" spans="1:5" s="143" customFormat="1" ht="21" hidden="1" customHeight="1" outlineLevel="1" x14ac:dyDescent="0.2">
      <c r="A267" s="375" t="s">
        <v>594</v>
      </c>
      <c r="B267" s="375"/>
      <c r="C267" s="376" t="s">
        <v>407</v>
      </c>
      <c r="D267" s="371" t="s">
        <v>704</v>
      </c>
      <c r="E267" s="403">
        <v>1</v>
      </c>
    </row>
    <row r="268" spans="1:5" ht="32.25" hidden="1" customHeight="1" outlineLevel="1" x14ac:dyDescent="0.2">
      <c r="A268" s="375" t="s">
        <v>623</v>
      </c>
      <c r="B268" s="375" t="s">
        <v>284</v>
      </c>
      <c r="C268" s="382" t="s">
        <v>285</v>
      </c>
      <c r="D268" s="371" t="s">
        <v>704</v>
      </c>
      <c r="E268" s="403">
        <v>1</v>
      </c>
    </row>
    <row r="269" spans="1:5" s="145" customFormat="1" ht="36.75" customHeight="1" collapsed="1" x14ac:dyDescent="0.2">
      <c r="A269" s="134" t="s">
        <v>687</v>
      </c>
      <c r="B269" s="134" t="s">
        <v>84</v>
      </c>
      <c r="C269" s="133" t="s">
        <v>641</v>
      </c>
      <c r="D269" s="319" t="s">
        <v>704</v>
      </c>
      <c r="E269" s="400">
        <v>1</v>
      </c>
    </row>
    <row r="270" spans="1:5" s="145" customFormat="1" ht="36.75" customHeight="1" x14ac:dyDescent="0.2">
      <c r="A270" s="134" t="s">
        <v>688</v>
      </c>
      <c r="B270" s="134" t="s">
        <v>86</v>
      </c>
      <c r="C270" s="133" t="s">
        <v>87</v>
      </c>
      <c r="D270" s="319" t="s">
        <v>704</v>
      </c>
      <c r="E270" s="400">
        <v>1</v>
      </c>
    </row>
    <row r="271" spans="1:5" s="145" customFormat="1" ht="36.75" customHeight="1" x14ac:dyDescent="0.2">
      <c r="A271" s="134" t="s">
        <v>695</v>
      </c>
      <c r="B271" s="134" t="s">
        <v>88</v>
      </c>
      <c r="C271" s="133" t="s">
        <v>89</v>
      </c>
      <c r="D271" s="319" t="s">
        <v>704</v>
      </c>
      <c r="E271" s="400">
        <v>1</v>
      </c>
    </row>
    <row r="272" spans="1:5" s="145" customFormat="1" x14ac:dyDescent="0.2">
      <c r="A272" s="134" t="s">
        <v>696</v>
      </c>
      <c r="B272" s="134" t="s">
        <v>90</v>
      </c>
      <c r="C272" s="133" t="s">
        <v>91</v>
      </c>
      <c r="D272" s="319" t="s">
        <v>704</v>
      </c>
      <c r="E272" s="400">
        <v>1</v>
      </c>
    </row>
    <row r="273" spans="1:5" s="145" customFormat="1" ht="24.75" customHeight="1" x14ac:dyDescent="0.2">
      <c r="A273" s="134" t="s">
        <v>697</v>
      </c>
      <c r="B273" s="134" t="s">
        <v>92</v>
      </c>
      <c r="C273" s="133" t="s">
        <v>642</v>
      </c>
      <c r="D273" s="319" t="s">
        <v>704</v>
      </c>
      <c r="E273" s="400">
        <v>1</v>
      </c>
    </row>
    <row r="274" spans="1:5" s="145" customFormat="1" ht="23.25" customHeight="1" x14ac:dyDescent="0.2">
      <c r="A274" s="134" t="s">
        <v>698</v>
      </c>
      <c r="B274" s="134" t="s">
        <v>94</v>
      </c>
      <c r="C274" s="133" t="s">
        <v>95</v>
      </c>
      <c r="D274" s="319" t="s">
        <v>704</v>
      </c>
      <c r="E274" s="400">
        <v>1</v>
      </c>
    </row>
    <row r="275" spans="1:5" s="145" customFormat="1" ht="39" customHeight="1" x14ac:dyDescent="0.2">
      <c r="A275" s="134" t="s">
        <v>1062</v>
      </c>
      <c r="B275" s="134" t="s">
        <v>96</v>
      </c>
      <c r="C275" s="133" t="s">
        <v>643</v>
      </c>
      <c r="D275" s="319" t="s">
        <v>704</v>
      </c>
      <c r="E275" s="400">
        <v>1</v>
      </c>
    </row>
    <row r="276" spans="1:5" s="145" customFormat="1" ht="38.25" customHeight="1" x14ac:dyDescent="0.2">
      <c r="A276" s="134" t="s">
        <v>1063</v>
      </c>
      <c r="B276" s="134" t="s">
        <v>98</v>
      </c>
      <c r="C276" s="133" t="s">
        <v>644</v>
      </c>
      <c r="D276" s="319" t="s">
        <v>704</v>
      </c>
      <c r="E276" s="400">
        <v>1</v>
      </c>
    </row>
    <row r="277" spans="1:5" s="145" customFormat="1" ht="38.25" customHeight="1" thickBot="1" x14ac:dyDescent="0.25">
      <c r="A277" s="446" t="s">
        <v>1064</v>
      </c>
      <c r="B277" s="446" t="s">
        <v>118</v>
      </c>
      <c r="C277" s="342" t="s">
        <v>1061</v>
      </c>
      <c r="D277" s="319" t="s">
        <v>704</v>
      </c>
      <c r="E277" s="400">
        <v>1</v>
      </c>
    </row>
    <row r="278" spans="1:5" ht="22.5" customHeight="1" collapsed="1" x14ac:dyDescent="0.2">
      <c r="A278" s="435">
        <v>3</v>
      </c>
      <c r="B278" s="436"/>
      <c r="C278" s="437" t="s">
        <v>693</v>
      </c>
      <c r="D278" s="438" t="s">
        <v>704</v>
      </c>
      <c r="E278" s="439">
        <v>1</v>
      </c>
    </row>
    <row r="279" spans="1:5" s="145" customFormat="1" ht="31.5" x14ac:dyDescent="0.2">
      <c r="A279" s="395" t="s">
        <v>636</v>
      </c>
      <c r="B279" s="134" t="s">
        <v>80</v>
      </c>
      <c r="C279" s="133" t="s">
        <v>81</v>
      </c>
      <c r="D279" s="120" t="s">
        <v>704</v>
      </c>
      <c r="E279" s="391">
        <v>1</v>
      </c>
    </row>
    <row r="280" spans="1:5" s="146" customFormat="1" x14ac:dyDescent="0.2">
      <c r="A280" s="396" t="s">
        <v>690</v>
      </c>
      <c r="B280" s="132" t="s">
        <v>286</v>
      </c>
      <c r="C280" s="121" t="s">
        <v>287</v>
      </c>
      <c r="D280" s="120" t="s">
        <v>704</v>
      </c>
      <c r="E280" s="391">
        <v>1</v>
      </c>
    </row>
    <row r="281" spans="1:5" s="146" customFormat="1" ht="31.5" x14ac:dyDescent="0.2">
      <c r="A281" s="396" t="s">
        <v>689</v>
      </c>
      <c r="B281" s="132" t="s">
        <v>288</v>
      </c>
      <c r="C281" s="121" t="s">
        <v>289</v>
      </c>
      <c r="D281" s="120" t="s">
        <v>704</v>
      </c>
      <c r="E281" s="391">
        <v>1</v>
      </c>
    </row>
    <row r="282" spans="1:5" s="146" customFormat="1" x14ac:dyDescent="0.2">
      <c r="A282" s="396" t="s">
        <v>691</v>
      </c>
      <c r="B282" s="132" t="s">
        <v>290</v>
      </c>
      <c r="C282" s="121" t="s">
        <v>291</v>
      </c>
      <c r="D282" s="120" t="s">
        <v>704</v>
      </c>
      <c r="E282" s="391">
        <v>1</v>
      </c>
    </row>
    <row r="283" spans="1:5" s="145" customFormat="1" ht="31.5" x14ac:dyDescent="0.2">
      <c r="A283" s="395" t="s">
        <v>637</v>
      </c>
      <c r="B283" s="134" t="s">
        <v>82</v>
      </c>
      <c r="C283" s="133" t="s">
        <v>83</v>
      </c>
      <c r="D283" s="120" t="s">
        <v>704</v>
      </c>
      <c r="E283" s="391">
        <v>1</v>
      </c>
    </row>
    <row r="284" spans="1:5" s="146" customFormat="1" x14ac:dyDescent="0.2">
      <c r="A284" s="396" t="s">
        <v>638</v>
      </c>
      <c r="B284" s="132" t="s">
        <v>295</v>
      </c>
      <c r="C284" s="121" t="s">
        <v>296</v>
      </c>
      <c r="D284" s="120" t="s">
        <v>704</v>
      </c>
      <c r="E284" s="391">
        <v>1</v>
      </c>
    </row>
    <row r="285" spans="1:5" s="148" customFormat="1" ht="31.5" x14ac:dyDescent="0.2">
      <c r="A285" s="396" t="s">
        <v>639</v>
      </c>
      <c r="B285" s="132" t="s">
        <v>297</v>
      </c>
      <c r="C285" s="147" t="s">
        <v>298</v>
      </c>
      <c r="D285" s="120" t="s">
        <v>704</v>
      </c>
      <c r="E285" s="391">
        <v>1</v>
      </c>
    </row>
    <row r="286" spans="1:5" s="148" customFormat="1" x14ac:dyDescent="0.2">
      <c r="A286" s="396" t="s">
        <v>640</v>
      </c>
      <c r="B286" s="132" t="s">
        <v>299</v>
      </c>
      <c r="C286" s="432" t="s">
        <v>300</v>
      </c>
      <c r="D286" s="433" t="s">
        <v>704</v>
      </c>
      <c r="E286" s="434">
        <v>1</v>
      </c>
    </row>
    <row r="287" spans="1:5" ht="16.5" thickBot="1" x14ac:dyDescent="0.25">
      <c r="A287" s="447" t="s">
        <v>1065</v>
      </c>
      <c r="B287" s="448" t="s">
        <v>118</v>
      </c>
      <c r="C287" s="455" t="s">
        <v>1061</v>
      </c>
      <c r="D287" s="319" t="s">
        <v>704</v>
      </c>
      <c r="E287" s="400">
        <v>1</v>
      </c>
    </row>
  </sheetData>
  <mergeCells count="2">
    <mergeCell ref="A1:E1"/>
    <mergeCell ref="B2:E2"/>
  </mergeCells>
  <printOptions gridLines="1"/>
  <pageMargins left="0.42013888888888901" right="0.25" top="0.3" bottom="0.3" header="0.51180555555555496" footer="0.51180555555555496"/>
  <pageSetup paperSize="9" scale="9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8"/>
  <sheetViews>
    <sheetView showGridLines="0" view="pageBreakPreview" topLeftCell="A200" zoomScale="85" zoomScaleNormal="85" zoomScaleSheetLayoutView="85" workbookViewId="0">
      <selection activeCell="L299" sqref="A1:L299"/>
    </sheetView>
  </sheetViews>
  <sheetFormatPr defaultColWidth="8.85546875" defaultRowHeight="15.75" outlineLevelRow="2" x14ac:dyDescent="0.2"/>
  <cols>
    <col min="1" max="1" width="11.140625" style="70" customWidth="1"/>
    <col min="2" max="2" width="24.7109375" style="70" customWidth="1"/>
    <col min="3" max="3" width="53.42578125" style="149" customWidth="1"/>
    <col min="4" max="4" width="13" style="149" customWidth="1"/>
    <col min="5" max="5" width="17" style="149" customWidth="1"/>
    <col min="6" max="6" width="24" style="70" customWidth="1"/>
    <col min="7" max="11" width="24" style="123" customWidth="1"/>
    <col min="12" max="12" width="20.7109375" style="123" customWidth="1"/>
    <col min="13" max="13" width="18.42578125" style="123" customWidth="1"/>
    <col min="14" max="14" width="28.140625" style="123" customWidth="1"/>
    <col min="15" max="15" width="21.5703125" style="123" customWidth="1"/>
    <col min="16" max="16" width="22.42578125" style="123" customWidth="1"/>
    <col min="17" max="17" width="21.42578125" style="123" customWidth="1"/>
    <col min="18" max="113" width="9.140625" style="123" customWidth="1"/>
    <col min="114" max="16384" width="8.85546875" style="123"/>
  </cols>
  <sheetData>
    <row r="1" spans="1:14" ht="29.25" customHeight="1" x14ac:dyDescent="0.2">
      <c r="A1" s="620" t="s">
        <v>580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</row>
    <row r="2" spans="1:14" ht="29.25" customHeight="1" x14ac:dyDescent="0.2">
      <c r="A2" s="322"/>
      <c r="B2" s="322"/>
      <c r="C2" s="322"/>
      <c r="D2" s="322"/>
      <c r="E2" s="322"/>
      <c r="F2" s="322"/>
      <c r="G2" s="107"/>
      <c r="H2" s="322"/>
      <c r="I2" s="107"/>
      <c r="J2" s="322"/>
      <c r="K2" s="322"/>
    </row>
    <row r="3" spans="1:14" ht="29.25" customHeight="1" x14ac:dyDescent="0.2">
      <c r="A3" s="108" t="s">
        <v>581</v>
      </c>
      <c r="B3" s="108"/>
      <c r="C3" s="669" t="s">
        <v>12</v>
      </c>
      <c r="D3" s="670"/>
      <c r="E3" s="670"/>
      <c r="F3" s="670"/>
      <c r="G3" s="670"/>
      <c r="H3" s="670"/>
      <c r="I3" s="670"/>
      <c r="J3" s="670"/>
      <c r="K3" s="670"/>
    </row>
    <row r="4" spans="1:14" ht="29.25" customHeight="1" x14ac:dyDescent="0.2">
      <c r="A4" s="110" t="s">
        <v>582</v>
      </c>
      <c r="B4" s="110"/>
      <c r="C4" s="110" t="s">
        <v>736</v>
      </c>
      <c r="D4" s="110"/>
      <c r="E4" s="110"/>
      <c r="F4" s="130"/>
      <c r="G4" s="111"/>
      <c r="H4" s="110"/>
      <c r="I4" s="111"/>
      <c r="J4" s="110"/>
    </row>
    <row r="5" spans="1:14" ht="29.25" customHeight="1" x14ac:dyDescent="0.2">
      <c r="A5" s="108" t="s">
        <v>583</v>
      </c>
      <c r="B5" s="108"/>
      <c r="C5" s="135"/>
      <c r="D5" s="135"/>
      <c r="E5" s="135"/>
      <c r="F5" s="131"/>
      <c r="G5" s="136"/>
      <c r="H5" s="135"/>
      <c r="I5" s="136"/>
      <c r="J5" s="135"/>
    </row>
    <row r="6" spans="1:14" ht="29.25" customHeight="1" x14ac:dyDescent="0.2">
      <c r="A6" s="110" t="s">
        <v>1057</v>
      </c>
      <c r="B6" s="110"/>
      <c r="C6" s="110"/>
      <c r="D6" s="110"/>
      <c r="E6" s="110"/>
      <c r="F6" s="130"/>
      <c r="G6" s="111"/>
      <c r="H6" s="111"/>
      <c r="I6" s="111"/>
      <c r="J6" s="111"/>
      <c r="K6" s="111"/>
    </row>
    <row r="7" spans="1:14" ht="29.25" customHeight="1" x14ac:dyDescent="0.2">
      <c r="A7" s="671" t="s">
        <v>1056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</row>
    <row r="8" spans="1:14" ht="29.25" customHeight="1" x14ac:dyDescent="0.2">
      <c r="A8" s="672" t="s">
        <v>591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</row>
    <row r="9" spans="1:14" ht="29.25" customHeight="1" x14ac:dyDescent="0.2">
      <c r="A9" s="135"/>
      <c r="B9" s="135"/>
      <c r="C9" s="135"/>
      <c r="D9" s="135"/>
      <c r="E9" s="135"/>
      <c r="F9" s="131"/>
      <c r="G9" s="136"/>
      <c r="H9" s="135"/>
      <c r="I9" s="137"/>
      <c r="J9" s="135"/>
      <c r="K9" s="138" t="s">
        <v>585</v>
      </c>
    </row>
    <row r="10" spans="1:14" ht="184.9" customHeight="1" x14ac:dyDescent="0.2">
      <c r="A10" s="113" t="s">
        <v>15</v>
      </c>
      <c r="B10" s="113" t="s">
        <v>705</v>
      </c>
      <c r="C10" s="186" t="s">
        <v>692</v>
      </c>
      <c r="D10" s="114" t="s">
        <v>702</v>
      </c>
      <c r="E10" s="186" t="s">
        <v>703</v>
      </c>
      <c r="F10" s="114" t="s">
        <v>586</v>
      </c>
      <c r="G10" s="114" t="s">
        <v>587</v>
      </c>
      <c r="H10" s="114" t="s">
        <v>1017</v>
      </c>
      <c r="I10" s="114" t="s">
        <v>588</v>
      </c>
      <c r="J10" s="114" t="s">
        <v>589</v>
      </c>
      <c r="K10" s="114" t="s">
        <v>590</v>
      </c>
      <c r="L10" s="190" t="s">
        <v>706</v>
      </c>
      <c r="N10" s="129" t="s">
        <v>1112</v>
      </c>
    </row>
    <row r="11" spans="1:14" x14ac:dyDescent="0.2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91">
        <v>6</v>
      </c>
      <c r="G11" s="191">
        <v>7</v>
      </c>
      <c r="H11" s="191">
        <v>8</v>
      </c>
      <c r="I11" s="191">
        <v>9</v>
      </c>
      <c r="J11" s="191">
        <v>10</v>
      </c>
      <c r="K11" s="191">
        <v>11</v>
      </c>
      <c r="L11" s="191"/>
      <c r="N11" s="122"/>
    </row>
    <row r="12" spans="1:14" ht="22.15" customHeight="1" x14ac:dyDescent="0.2">
      <c r="A12" s="115">
        <v>1</v>
      </c>
      <c r="B12" s="115"/>
      <c r="C12" s="116" t="s">
        <v>592</v>
      </c>
      <c r="D12" s="116" t="s">
        <v>704</v>
      </c>
      <c r="E12" s="115">
        <v>1</v>
      </c>
      <c r="F12" s="117">
        <f>F13+F14</f>
        <v>64922730.469999999</v>
      </c>
      <c r="G12" s="118"/>
      <c r="H12" s="117">
        <f>H13+H14</f>
        <v>71582757.359999999</v>
      </c>
      <c r="I12" s="383"/>
      <c r="J12" s="117">
        <f>J13+J14</f>
        <v>73332705.230000004</v>
      </c>
      <c r="K12" s="117">
        <f>K13+K14</f>
        <v>72807720.870000005</v>
      </c>
      <c r="L12" s="117"/>
      <c r="N12" s="122"/>
    </row>
    <row r="13" spans="1:14" s="140" customFormat="1" ht="31.5" x14ac:dyDescent="0.2">
      <c r="A13" s="119" t="s">
        <v>452</v>
      </c>
      <c r="B13" s="345" t="s">
        <v>107</v>
      </c>
      <c r="C13" s="120" t="s">
        <v>593</v>
      </c>
      <c r="D13" s="120" t="s">
        <v>704</v>
      </c>
      <c r="E13" s="119">
        <v>1</v>
      </c>
      <c r="F13" s="124">
        <f>'Затраты подрядчика'!O328</f>
        <v>63649735.75</v>
      </c>
      <c r="G13" s="476">
        <f>$G$303</f>
        <v>1.1025839</v>
      </c>
      <c r="H13" s="173">
        <f>F13*G13</f>
        <v>70179173.879999995</v>
      </c>
      <c r="I13" s="476">
        <f>$F$328</f>
        <v>1.0244465</v>
      </c>
      <c r="J13" s="175">
        <f>H13*I13</f>
        <v>71894809.049999997</v>
      </c>
      <c r="K13" s="176">
        <f>H13+(J13-H13)*(1-30/100)</f>
        <v>71380118.5</v>
      </c>
      <c r="L13" s="176"/>
      <c r="N13" s="514">
        <f>K13/F13</f>
        <v>1.1214519000000001</v>
      </c>
    </row>
    <row r="14" spans="1:14" s="140" customFormat="1" x14ac:dyDescent="0.2">
      <c r="A14" s="430" t="s">
        <v>453</v>
      </c>
      <c r="B14" s="345" t="s">
        <v>118</v>
      </c>
      <c r="C14" s="120" t="s">
        <v>1061</v>
      </c>
      <c r="D14" s="120" t="s">
        <v>704</v>
      </c>
      <c r="E14" s="119">
        <v>1</v>
      </c>
      <c r="F14" s="124">
        <f>F13*0.02</f>
        <v>1272994.72</v>
      </c>
      <c r="G14" s="476">
        <f>$G$303</f>
        <v>1.1025839</v>
      </c>
      <c r="H14" s="173">
        <f>F14*G14</f>
        <v>1403583.48</v>
      </c>
      <c r="I14" s="476">
        <f>$F$328</f>
        <v>1.0244465</v>
      </c>
      <c r="J14" s="175">
        <f>H14*I14</f>
        <v>1437896.18</v>
      </c>
      <c r="K14" s="176">
        <f>H14+(J14-H14)*(1-30/100)</f>
        <v>1427602.37</v>
      </c>
      <c r="L14" s="176"/>
      <c r="N14" s="506"/>
    </row>
    <row r="15" spans="1:14" s="141" customFormat="1" ht="51" customHeight="1" x14ac:dyDescent="0.2">
      <c r="A15" s="125" t="s">
        <v>594</v>
      </c>
      <c r="B15" s="125"/>
      <c r="C15" s="116" t="s">
        <v>701</v>
      </c>
      <c r="D15" s="116" t="s">
        <v>704</v>
      </c>
      <c r="E15" s="115">
        <v>1</v>
      </c>
      <c r="F15" s="117">
        <f>F16+F26+F77+F126+F192+F200+F210+F219+F225+F236+F257+F266+F275+F276+F277+F281+F282+F283+F284+F285+F286</f>
        <v>1314185681.03</v>
      </c>
      <c r="G15" s="118"/>
      <c r="H15" s="117">
        <f>H16+H26+H77+H126+H192+H200+H210+H219+H225+H236+H257+H266+H275+H276+H277+H281+H282+H283+H284+H285+H286</f>
        <v>1435595130.8399999</v>
      </c>
      <c r="I15" s="139"/>
      <c r="J15" s="117">
        <f>J16+J26+J77+J126+J192+J200+J210+J219+J225+J236+J257+J266+J275+J276+J277+J281+J282+J283+J284+J285+J286</f>
        <v>1519771024.74</v>
      </c>
      <c r="K15" s="117">
        <f>K16+K26+K77+K126+K192+K200+K210+K219+K225+K236+K257+K266+K275+K276+K277+K281+K282+K283+K284+K285+K286</f>
        <v>1494518256.6300001</v>
      </c>
      <c r="L15" s="117">
        <f>L16+L26+L77+L126+L192+L200+L210+L219+L225+L236+L257+L266+L275+L276+L277+L281+L282+L283+L284+L285+L286</f>
        <v>99871120.219999999</v>
      </c>
      <c r="N15" s="505"/>
    </row>
    <row r="16" spans="1:14" ht="28.5" customHeight="1" x14ac:dyDescent="0.2">
      <c r="A16" s="127" t="s">
        <v>457</v>
      </c>
      <c r="B16" s="127"/>
      <c r="C16" s="128" t="s">
        <v>595</v>
      </c>
      <c r="D16" s="120" t="s">
        <v>704</v>
      </c>
      <c r="E16" s="119">
        <v>1</v>
      </c>
      <c r="F16" s="150">
        <f>F17+F20+F23+F24</f>
        <v>56711707.289999999</v>
      </c>
      <c r="G16" s="407"/>
      <c r="H16" s="150">
        <f>H17+H20+H23+H24</f>
        <v>62529415.390000001</v>
      </c>
      <c r="I16" s="431"/>
      <c r="J16" s="150">
        <f>J17+J20+J23+J24</f>
        <v>66562962.859999999</v>
      </c>
      <c r="K16" s="150">
        <f>K17+K20+K23+K24</f>
        <v>65352898.619999997</v>
      </c>
      <c r="L16" s="150"/>
      <c r="N16" s="506"/>
    </row>
    <row r="17" spans="1:14" s="142" customFormat="1" ht="27.75" customHeight="1" x14ac:dyDescent="0.2">
      <c r="A17" s="326" t="s">
        <v>596</v>
      </c>
      <c r="B17" s="346" t="s">
        <v>1018</v>
      </c>
      <c r="C17" s="327" t="s">
        <v>26</v>
      </c>
      <c r="D17" s="329" t="s">
        <v>704</v>
      </c>
      <c r="E17" s="330">
        <v>1</v>
      </c>
      <c r="F17" s="328">
        <f>SUM(F18:F19)</f>
        <v>43975234.950000003</v>
      </c>
      <c r="G17" s="476">
        <f>$G$303</f>
        <v>1.1025839</v>
      </c>
      <c r="H17" s="331">
        <f>F17*G17</f>
        <v>48486386.049999997</v>
      </c>
      <c r="I17" s="478">
        <f t="shared" ref="I17:I24" si="0">$F$348</f>
        <v>1.0645064</v>
      </c>
      <c r="J17" s="333">
        <f>H17*I17</f>
        <v>51614068.259999998</v>
      </c>
      <c r="K17" s="334">
        <f>H17+(J17-H17)*(1-30/100)</f>
        <v>50675763.600000001</v>
      </c>
      <c r="L17" s="334"/>
      <c r="N17" s="514">
        <f t="shared" ref="N17" si="1">K17/F17</f>
        <v>1.1523705</v>
      </c>
    </row>
    <row r="18" spans="1:14" s="143" customFormat="1" ht="35.25" hidden="1" customHeight="1" outlineLevel="1" x14ac:dyDescent="0.2">
      <c r="A18" s="375" t="s">
        <v>597</v>
      </c>
      <c r="B18" s="375"/>
      <c r="C18" s="376" t="s">
        <v>454</v>
      </c>
      <c r="D18" s="358" t="s">
        <v>704</v>
      </c>
      <c r="E18" s="359">
        <v>1</v>
      </c>
      <c r="F18" s="360">
        <f>'Затраты подрядчика'!O32</f>
        <v>30470135.710000001</v>
      </c>
      <c r="G18" s="476">
        <f t="shared" ref="G18:G81" si="2">$G$303</f>
        <v>1.1025839</v>
      </c>
      <c r="H18" s="363">
        <f t="shared" ref="H18:H24" si="3">F18*G18</f>
        <v>33595881.060000002</v>
      </c>
      <c r="I18" s="478">
        <f t="shared" si="0"/>
        <v>1.0645064</v>
      </c>
      <c r="J18" s="499">
        <f>H18*I18-0.01</f>
        <v>35763030.390000001</v>
      </c>
      <c r="K18" s="502">
        <f>H18+(J18-H18)*(1-30/100)-0.01</f>
        <v>35112885.579999998</v>
      </c>
      <c r="L18" s="365"/>
      <c r="N18" s="515"/>
    </row>
    <row r="19" spans="1:14" s="143" customFormat="1" ht="39.75" hidden="1" customHeight="1" outlineLevel="1" x14ac:dyDescent="0.2">
      <c r="A19" s="375" t="s">
        <v>598</v>
      </c>
      <c r="B19" s="375"/>
      <c r="C19" s="376" t="s">
        <v>455</v>
      </c>
      <c r="D19" s="358" t="s">
        <v>704</v>
      </c>
      <c r="E19" s="359">
        <v>1</v>
      </c>
      <c r="F19" s="360">
        <f>'Затраты подрядчика'!O33</f>
        <v>13505099.24</v>
      </c>
      <c r="G19" s="476">
        <f t="shared" si="2"/>
        <v>1.1025839</v>
      </c>
      <c r="H19" s="363">
        <f t="shared" si="3"/>
        <v>14890504.99</v>
      </c>
      <c r="I19" s="478">
        <f t="shared" si="0"/>
        <v>1.0645064</v>
      </c>
      <c r="J19" s="364">
        <f t="shared" ref="J19:J24" si="4">H19*I19</f>
        <v>15851037.859999999</v>
      </c>
      <c r="K19" s="365">
        <f t="shared" ref="K19:K24" si="5">H19+(J19-H19)*(1-30/100)</f>
        <v>15562878</v>
      </c>
      <c r="L19" s="365"/>
      <c r="N19" s="515"/>
    </row>
    <row r="20" spans="1:14" s="142" customFormat="1" ht="28.5" customHeight="1" collapsed="1" x14ac:dyDescent="0.2">
      <c r="A20" s="326" t="s">
        <v>599</v>
      </c>
      <c r="B20" s="346" t="s">
        <v>1019</v>
      </c>
      <c r="C20" s="327" t="s">
        <v>700</v>
      </c>
      <c r="D20" s="329" t="s">
        <v>704</v>
      </c>
      <c r="E20" s="330">
        <v>1</v>
      </c>
      <c r="F20" s="328">
        <f>'Затраты подрядчика'!O34</f>
        <v>4674418.57</v>
      </c>
      <c r="G20" s="476">
        <f t="shared" si="2"/>
        <v>1.1025839</v>
      </c>
      <c r="H20" s="331">
        <f t="shared" si="3"/>
        <v>5153938.66</v>
      </c>
      <c r="I20" s="478">
        <f t="shared" si="0"/>
        <v>1.0645064</v>
      </c>
      <c r="J20" s="333">
        <f t="shared" si="4"/>
        <v>5486400.6900000004</v>
      </c>
      <c r="K20" s="334">
        <f t="shared" si="5"/>
        <v>5386662.0800000001</v>
      </c>
      <c r="L20" s="334"/>
      <c r="N20" s="515"/>
    </row>
    <row r="21" spans="1:14" s="143" customFormat="1" ht="21.75" hidden="1" customHeight="1" outlineLevel="1" x14ac:dyDescent="0.2">
      <c r="A21" s="375" t="s">
        <v>600</v>
      </c>
      <c r="B21" s="375"/>
      <c r="C21" s="376" t="s">
        <v>456</v>
      </c>
      <c r="D21" s="358" t="s">
        <v>704</v>
      </c>
      <c r="E21" s="359">
        <v>1</v>
      </c>
      <c r="F21" s="360">
        <f>'Затраты подрядчика'!O35</f>
        <v>1800868.97</v>
      </c>
      <c r="G21" s="476">
        <f t="shared" si="2"/>
        <v>1.1025839</v>
      </c>
      <c r="H21" s="363">
        <f t="shared" si="3"/>
        <v>1985609.13</v>
      </c>
      <c r="I21" s="478">
        <f t="shared" si="0"/>
        <v>1.0645064</v>
      </c>
      <c r="J21" s="364">
        <f t="shared" si="4"/>
        <v>2113693.63</v>
      </c>
      <c r="K21" s="365">
        <f t="shared" si="5"/>
        <v>2075268.28</v>
      </c>
      <c r="L21" s="365"/>
      <c r="N21" s="515"/>
    </row>
    <row r="22" spans="1:14" s="143" customFormat="1" ht="27.75" hidden="1" customHeight="1" outlineLevel="1" x14ac:dyDescent="0.2">
      <c r="A22" s="375" t="s">
        <v>601</v>
      </c>
      <c r="B22" s="375"/>
      <c r="C22" s="376" t="s">
        <v>459</v>
      </c>
      <c r="D22" s="358" t="s">
        <v>704</v>
      </c>
      <c r="E22" s="359">
        <v>1</v>
      </c>
      <c r="F22" s="360">
        <f>'Затраты подрядчика'!O36</f>
        <v>2873549.6</v>
      </c>
      <c r="G22" s="476">
        <f t="shared" si="2"/>
        <v>1.1025839</v>
      </c>
      <c r="H22" s="363">
        <f t="shared" si="3"/>
        <v>3168329.52</v>
      </c>
      <c r="I22" s="478">
        <f t="shared" si="0"/>
        <v>1.0645064</v>
      </c>
      <c r="J22" s="364">
        <f t="shared" si="4"/>
        <v>3372707.05</v>
      </c>
      <c r="K22" s="365">
        <f t="shared" si="5"/>
        <v>3311393.79</v>
      </c>
      <c r="L22" s="365"/>
      <c r="N22" s="515"/>
    </row>
    <row r="23" spans="1:14" s="137" customFormat="1" ht="36" customHeight="1" collapsed="1" x14ac:dyDescent="0.2">
      <c r="A23" s="326" t="s">
        <v>602</v>
      </c>
      <c r="B23" s="327" t="s">
        <v>1020</v>
      </c>
      <c r="C23" s="327" t="s">
        <v>604</v>
      </c>
      <c r="D23" s="329" t="s">
        <v>704</v>
      </c>
      <c r="E23" s="330">
        <v>1</v>
      </c>
      <c r="F23" s="328">
        <f>'Затраты подрядчика'!O37</f>
        <v>8021807.0700000003</v>
      </c>
      <c r="G23" s="476">
        <f t="shared" si="2"/>
        <v>1.1025839</v>
      </c>
      <c r="H23" s="331">
        <f t="shared" si="3"/>
        <v>8844715.3200000003</v>
      </c>
      <c r="I23" s="478">
        <f t="shared" si="0"/>
        <v>1.0645064</v>
      </c>
      <c r="J23" s="333">
        <f t="shared" si="4"/>
        <v>9415256.0600000005</v>
      </c>
      <c r="K23" s="334">
        <f t="shared" si="5"/>
        <v>9244093.8399999999</v>
      </c>
      <c r="L23" s="334"/>
      <c r="N23" s="515"/>
    </row>
    <row r="24" spans="1:14" ht="31.5" x14ac:dyDescent="0.2">
      <c r="A24" s="326" t="s">
        <v>603</v>
      </c>
      <c r="B24" s="346" t="s">
        <v>1021</v>
      </c>
      <c r="C24" s="327" t="s">
        <v>605</v>
      </c>
      <c r="D24" s="329" t="s">
        <v>704</v>
      </c>
      <c r="E24" s="330">
        <v>1</v>
      </c>
      <c r="F24" s="328">
        <f>'Затраты подрядчика'!O38</f>
        <v>40246.699999999997</v>
      </c>
      <c r="G24" s="476">
        <f t="shared" si="2"/>
        <v>1.1025839</v>
      </c>
      <c r="H24" s="331">
        <f t="shared" si="3"/>
        <v>44375.360000000001</v>
      </c>
      <c r="I24" s="478">
        <f t="shared" si="0"/>
        <v>1.0645064</v>
      </c>
      <c r="J24" s="333">
        <f t="shared" si="4"/>
        <v>47237.85</v>
      </c>
      <c r="K24" s="334">
        <f t="shared" si="5"/>
        <v>46379.1</v>
      </c>
      <c r="L24" s="334"/>
      <c r="N24" s="515"/>
    </row>
    <row r="25" spans="1:14" ht="21.75" customHeight="1" x14ac:dyDescent="0.2">
      <c r="A25" s="126"/>
      <c r="B25" s="126"/>
      <c r="C25" s="144" t="s">
        <v>606</v>
      </c>
      <c r="D25" s="144"/>
      <c r="E25" s="128"/>
      <c r="F25" s="129"/>
      <c r="G25" s="476"/>
      <c r="H25" s="122"/>
      <c r="I25" s="530"/>
      <c r="J25" s="122"/>
      <c r="K25" s="122"/>
      <c r="L25" s="122"/>
      <c r="N25" s="515"/>
    </row>
    <row r="26" spans="1:14" s="145" customFormat="1" ht="21.75" customHeight="1" x14ac:dyDescent="0.2">
      <c r="A26" s="134" t="s">
        <v>458</v>
      </c>
      <c r="B26" s="347" t="s">
        <v>1022</v>
      </c>
      <c r="C26" s="133" t="s">
        <v>36</v>
      </c>
      <c r="D26" s="120" t="s">
        <v>704</v>
      </c>
      <c r="E26" s="119">
        <v>1</v>
      </c>
      <c r="F26" s="150">
        <f>F27+F32+F36+F41+F47+F48+F54+F55+F60+F61+F65+F69+F72+F76</f>
        <v>185075704.38999999</v>
      </c>
      <c r="G26" s="476"/>
      <c r="H26" s="150">
        <f>H27+H32+H36+H41+H47+H48+H54+H55+H60+H61+H65+H69+H72+H76</f>
        <v>204061491.94</v>
      </c>
      <c r="I26" s="530"/>
      <c r="J26" s="150">
        <f>J27+J32+J36+J41+J47+J48+J54+J55+J60+J61+J65+J69+J72+J76</f>
        <v>217224764.16</v>
      </c>
      <c r="K26" s="150">
        <f>K27+K32+K36+K41+K47+K48+K54+K55+K60+K61+K65+K69+K72+K76</f>
        <v>213275782.52000001</v>
      </c>
      <c r="L26" s="150">
        <f>L27+L32+L36+L41+L47+L48+L54+L55+L60+L61+L65+L69+L72+L76</f>
        <v>9486908.1400000006</v>
      </c>
      <c r="N26" s="515"/>
    </row>
    <row r="27" spans="1:14" s="142" customFormat="1" x14ac:dyDescent="0.2">
      <c r="A27" s="132" t="s">
        <v>607</v>
      </c>
      <c r="B27" s="348" t="s">
        <v>1023</v>
      </c>
      <c r="C27" s="121" t="s">
        <v>197</v>
      </c>
      <c r="D27" s="329" t="s">
        <v>704</v>
      </c>
      <c r="E27" s="330">
        <v>1</v>
      </c>
      <c r="F27" s="328">
        <f>SUM(F28:F31)</f>
        <v>34550826.380000003</v>
      </c>
      <c r="G27" s="476">
        <f t="shared" si="2"/>
        <v>1.1025839</v>
      </c>
      <c r="H27" s="328">
        <f>F27*G27</f>
        <v>38095184.899999999</v>
      </c>
      <c r="I27" s="478">
        <f t="shared" ref="I27:I34" si="6">$F$348</f>
        <v>1.0645064</v>
      </c>
      <c r="J27" s="328">
        <f>H27*I27</f>
        <v>40552568.140000001</v>
      </c>
      <c r="K27" s="334">
        <f t="shared" ref="K27" si="7">H27+(J27-H27)*(1-30/100)</f>
        <v>39815353.170000002</v>
      </c>
      <c r="L27" s="334"/>
      <c r="N27" s="515"/>
    </row>
    <row r="28" spans="1:14" ht="15" hidden="1" customHeight="1" outlineLevel="1" x14ac:dyDescent="0.2">
      <c r="A28" s="375" t="s">
        <v>892</v>
      </c>
      <c r="B28" s="384"/>
      <c r="C28" s="376" t="s">
        <v>621</v>
      </c>
      <c r="D28" s="358" t="s">
        <v>704</v>
      </c>
      <c r="E28" s="359">
        <v>1</v>
      </c>
      <c r="F28" s="360">
        <f>'Затраты подрядчика'!O43</f>
        <v>17050367.129999999</v>
      </c>
      <c r="G28" s="476">
        <f t="shared" si="2"/>
        <v>1.1025839</v>
      </c>
      <c r="H28" s="481">
        <f>F28*G28+0.01</f>
        <v>18799460.300000001</v>
      </c>
      <c r="I28" s="478">
        <f t="shared" si="6"/>
        <v>1.0645064</v>
      </c>
      <c r="J28" s="364">
        <f t="shared" ref="J28:J91" si="8">H28*I28</f>
        <v>20012145.809999999</v>
      </c>
      <c r="K28" s="365">
        <f t="shared" ref="K28:K93" si="9">H28+(J28-H28)*(1-30/100)</f>
        <v>19648340.16</v>
      </c>
      <c r="L28" s="365"/>
      <c r="N28" s="515"/>
    </row>
    <row r="29" spans="1:14" hidden="1" outlineLevel="1" x14ac:dyDescent="0.2">
      <c r="A29" s="375" t="s">
        <v>893</v>
      </c>
      <c r="B29" s="384"/>
      <c r="C29" s="376" t="s">
        <v>346</v>
      </c>
      <c r="D29" s="358" t="s">
        <v>704</v>
      </c>
      <c r="E29" s="359">
        <v>1</v>
      </c>
      <c r="F29" s="360">
        <f>'Затраты подрядчика'!O44</f>
        <v>4375636.1399999997</v>
      </c>
      <c r="G29" s="476">
        <f t="shared" si="2"/>
        <v>1.1025839</v>
      </c>
      <c r="H29" s="363">
        <f t="shared" ref="H29:H91" si="10">F29*G29</f>
        <v>4824505.96</v>
      </c>
      <c r="I29" s="478">
        <f t="shared" si="6"/>
        <v>1.0645064</v>
      </c>
      <c r="J29" s="364">
        <f t="shared" si="8"/>
        <v>5135717.47</v>
      </c>
      <c r="K29" s="365">
        <f t="shared" si="9"/>
        <v>5042354.0199999996</v>
      </c>
      <c r="L29" s="365"/>
      <c r="N29" s="515"/>
    </row>
    <row r="30" spans="1:14" hidden="1" outlineLevel="1" x14ac:dyDescent="0.2">
      <c r="A30" s="375" t="s">
        <v>894</v>
      </c>
      <c r="B30" s="384"/>
      <c r="C30" s="376" t="s">
        <v>347</v>
      </c>
      <c r="D30" s="358" t="s">
        <v>704</v>
      </c>
      <c r="E30" s="359">
        <v>1</v>
      </c>
      <c r="F30" s="360">
        <f>'Затраты подрядчика'!O45</f>
        <v>4082275.5</v>
      </c>
      <c r="G30" s="476">
        <f t="shared" si="2"/>
        <v>1.1025839</v>
      </c>
      <c r="H30" s="363">
        <f t="shared" si="10"/>
        <v>4501051.24</v>
      </c>
      <c r="I30" s="478">
        <f t="shared" si="6"/>
        <v>1.0645064</v>
      </c>
      <c r="J30" s="364">
        <f t="shared" si="8"/>
        <v>4791397.8499999996</v>
      </c>
      <c r="K30" s="365">
        <f t="shared" si="9"/>
        <v>4704293.87</v>
      </c>
      <c r="L30" s="365"/>
      <c r="N30" s="515"/>
    </row>
    <row r="31" spans="1:14" ht="31.5" hidden="1" customHeight="1" outlineLevel="1" x14ac:dyDescent="0.2">
      <c r="A31" s="375" t="s">
        <v>895</v>
      </c>
      <c r="B31" s="384" t="s">
        <v>247</v>
      </c>
      <c r="C31" s="376" t="s">
        <v>248</v>
      </c>
      <c r="D31" s="358" t="s">
        <v>704</v>
      </c>
      <c r="E31" s="359">
        <v>1</v>
      </c>
      <c r="F31" s="360">
        <f>'Затраты подрядчика'!O46</f>
        <v>9042547.6099999994</v>
      </c>
      <c r="G31" s="476">
        <f t="shared" si="2"/>
        <v>1.1025839</v>
      </c>
      <c r="H31" s="363">
        <f>F31*G31</f>
        <v>9970167.4100000001</v>
      </c>
      <c r="I31" s="478">
        <f t="shared" si="6"/>
        <v>1.0645064</v>
      </c>
      <c r="J31" s="364">
        <f>H31*I31</f>
        <v>10613307.02</v>
      </c>
      <c r="K31" s="365">
        <f>H31+(J31-H31)*(1-30/100)</f>
        <v>10420365.140000001</v>
      </c>
      <c r="L31" s="365"/>
      <c r="N31" s="515"/>
    </row>
    <row r="32" spans="1:14" s="142" customFormat="1" ht="31.5" collapsed="1" x14ac:dyDescent="0.2">
      <c r="A32" s="132" t="s">
        <v>608</v>
      </c>
      <c r="B32" s="348" t="s">
        <v>1024</v>
      </c>
      <c r="C32" s="121" t="s">
        <v>199</v>
      </c>
      <c r="D32" s="329" t="s">
        <v>704</v>
      </c>
      <c r="E32" s="330">
        <v>1</v>
      </c>
      <c r="F32" s="328">
        <f>SUM(F33:F35)</f>
        <v>29579877.510000002</v>
      </c>
      <c r="G32" s="476">
        <f t="shared" si="2"/>
        <v>1.1025839</v>
      </c>
      <c r="H32" s="331">
        <f t="shared" si="10"/>
        <v>32614296.710000001</v>
      </c>
      <c r="I32" s="478">
        <f t="shared" si="6"/>
        <v>1.0645064</v>
      </c>
      <c r="J32" s="333">
        <f t="shared" si="8"/>
        <v>34718127.579999998</v>
      </c>
      <c r="K32" s="334">
        <f t="shared" si="9"/>
        <v>34086978.32</v>
      </c>
      <c r="L32" s="334"/>
      <c r="N32" s="515"/>
    </row>
    <row r="33" spans="1:14" hidden="1" outlineLevel="1" x14ac:dyDescent="0.2">
      <c r="A33" s="375" t="s">
        <v>1180</v>
      </c>
      <c r="B33" s="384"/>
      <c r="C33" s="376" t="s">
        <v>351</v>
      </c>
      <c r="D33" s="358" t="s">
        <v>704</v>
      </c>
      <c r="E33" s="359">
        <v>1</v>
      </c>
      <c r="F33" s="360">
        <f>'Затраты подрядчика'!O48</f>
        <v>14625241.4</v>
      </c>
      <c r="G33" s="476">
        <f t="shared" si="2"/>
        <v>1.1025839</v>
      </c>
      <c r="H33" s="363">
        <f t="shared" si="10"/>
        <v>16125555.699999999</v>
      </c>
      <c r="I33" s="478">
        <f t="shared" si="6"/>
        <v>1.0645064</v>
      </c>
      <c r="J33" s="364">
        <f t="shared" si="8"/>
        <v>17165757.25</v>
      </c>
      <c r="K33" s="502">
        <f>H33+(J33-H33)*(1-30/100)+0.01</f>
        <v>16853696.800000001</v>
      </c>
      <c r="L33" s="365"/>
      <c r="N33" s="515"/>
    </row>
    <row r="34" spans="1:14" ht="16.5" hidden="1" customHeight="1" outlineLevel="1" x14ac:dyDescent="0.2">
      <c r="A34" s="375" t="s">
        <v>1181</v>
      </c>
      <c r="B34" s="384"/>
      <c r="C34" s="376" t="s">
        <v>352</v>
      </c>
      <c r="D34" s="358" t="s">
        <v>704</v>
      </c>
      <c r="E34" s="359">
        <v>1</v>
      </c>
      <c r="F34" s="360">
        <f>'Затраты подрядчика'!O49</f>
        <v>14954636.109999999</v>
      </c>
      <c r="G34" s="476">
        <f t="shared" si="2"/>
        <v>1.1025839</v>
      </c>
      <c r="H34" s="363">
        <f t="shared" si="10"/>
        <v>16488741.01</v>
      </c>
      <c r="I34" s="478">
        <f t="shared" si="6"/>
        <v>1.0645064</v>
      </c>
      <c r="J34" s="364">
        <f t="shared" si="8"/>
        <v>17552370.329999998</v>
      </c>
      <c r="K34" s="365">
        <f t="shared" si="9"/>
        <v>17233281.530000001</v>
      </c>
      <c r="L34" s="365"/>
      <c r="N34" s="515"/>
    </row>
    <row r="35" spans="1:14" s="137" customFormat="1" hidden="1" outlineLevel="1" x14ac:dyDescent="0.2">
      <c r="A35" s="375"/>
      <c r="B35" s="384"/>
      <c r="C35" s="376"/>
      <c r="D35" s="376"/>
      <c r="E35" s="375"/>
      <c r="F35" s="360"/>
      <c r="G35" s="476"/>
      <c r="H35" s="363"/>
      <c r="I35" s="531"/>
      <c r="J35" s="364"/>
      <c r="K35" s="365"/>
      <c r="L35" s="365"/>
      <c r="N35" s="515"/>
    </row>
    <row r="36" spans="1:14" s="142" customFormat="1" collapsed="1" x14ac:dyDescent="0.2">
      <c r="A36" s="132" t="s">
        <v>609</v>
      </c>
      <c r="B36" s="348" t="s">
        <v>1025</v>
      </c>
      <c r="C36" s="121" t="s">
        <v>201</v>
      </c>
      <c r="D36" s="329" t="s">
        <v>704</v>
      </c>
      <c r="E36" s="330">
        <v>1</v>
      </c>
      <c r="F36" s="328">
        <f>SUM(F37:F40)</f>
        <v>6156653.0099999998</v>
      </c>
      <c r="G36" s="476">
        <f t="shared" si="2"/>
        <v>1.1025839</v>
      </c>
      <c r="H36" s="328">
        <f>F36*G36</f>
        <v>6788226.4900000002</v>
      </c>
      <c r="I36" s="478">
        <f t="shared" ref="I36:I76" si="11">$F$348</f>
        <v>1.0645064</v>
      </c>
      <c r="J36" s="328">
        <f>H36*I36</f>
        <v>7226110.54</v>
      </c>
      <c r="K36" s="334">
        <f t="shared" si="9"/>
        <v>7094745.3300000001</v>
      </c>
      <c r="L36" s="328"/>
      <c r="N36" s="515"/>
    </row>
    <row r="37" spans="1:14" hidden="1" outlineLevel="1" x14ac:dyDescent="0.2">
      <c r="A37" s="375" t="s">
        <v>896</v>
      </c>
      <c r="B37" s="384"/>
      <c r="C37" s="376" t="s">
        <v>356</v>
      </c>
      <c r="D37" s="358" t="s">
        <v>704</v>
      </c>
      <c r="E37" s="359">
        <v>1</v>
      </c>
      <c r="F37" s="360">
        <f>'Затраты подрядчика'!O52</f>
        <v>708002.58</v>
      </c>
      <c r="G37" s="476">
        <f t="shared" si="2"/>
        <v>1.1025839</v>
      </c>
      <c r="H37" s="363">
        <f t="shared" si="10"/>
        <v>780632.25</v>
      </c>
      <c r="I37" s="478">
        <f t="shared" si="11"/>
        <v>1.0645064</v>
      </c>
      <c r="J37" s="499">
        <f>H37*I37+0.01</f>
        <v>830988.04</v>
      </c>
      <c r="K37" s="502">
        <f>H37+(J37-H37)*(1-30/100)-0.01</f>
        <v>815881.29</v>
      </c>
      <c r="L37" s="365"/>
      <c r="N37" s="515"/>
    </row>
    <row r="38" spans="1:14" hidden="1" outlineLevel="1" x14ac:dyDescent="0.2">
      <c r="A38" s="375" t="s">
        <v>897</v>
      </c>
      <c r="B38" s="384"/>
      <c r="C38" s="376" t="s">
        <v>360</v>
      </c>
      <c r="D38" s="358" t="s">
        <v>704</v>
      </c>
      <c r="E38" s="359">
        <v>1</v>
      </c>
      <c r="F38" s="360">
        <f>'Затраты подрядчика'!O53</f>
        <v>415726.31</v>
      </c>
      <c r="G38" s="476">
        <f t="shared" si="2"/>
        <v>1.1025839</v>
      </c>
      <c r="H38" s="363">
        <f t="shared" si="10"/>
        <v>458373.14</v>
      </c>
      <c r="I38" s="478">
        <f t="shared" si="11"/>
        <v>1.0645064</v>
      </c>
      <c r="J38" s="364">
        <f t="shared" si="8"/>
        <v>487941.14</v>
      </c>
      <c r="K38" s="365">
        <f t="shared" si="9"/>
        <v>479070.74</v>
      </c>
      <c r="L38" s="365"/>
      <c r="N38" s="515"/>
    </row>
    <row r="39" spans="1:14" hidden="1" outlineLevel="1" x14ac:dyDescent="0.2">
      <c r="A39" s="375" t="s">
        <v>898</v>
      </c>
      <c r="B39" s="384"/>
      <c r="C39" s="376" t="s">
        <v>361</v>
      </c>
      <c r="D39" s="358" t="s">
        <v>704</v>
      </c>
      <c r="E39" s="359">
        <v>1</v>
      </c>
      <c r="F39" s="360">
        <f>'Затраты подрядчика'!O54</f>
        <v>5031756.3499999996</v>
      </c>
      <c r="G39" s="476">
        <f t="shared" si="2"/>
        <v>1.1025839</v>
      </c>
      <c r="H39" s="363">
        <f t="shared" si="10"/>
        <v>5547933.54</v>
      </c>
      <c r="I39" s="478">
        <f t="shared" si="11"/>
        <v>1.0645064</v>
      </c>
      <c r="J39" s="364">
        <f t="shared" si="8"/>
        <v>5905810.7599999998</v>
      </c>
      <c r="K39" s="365">
        <f t="shared" si="9"/>
        <v>5798447.5899999999</v>
      </c>
      <c r="L39" s="365"/>
      <c r="N39" s="515"/>
    </row>
    <row r="40" spans="1:14" ht="31.5" hidden="1" customHeight="1" outlineLevel="1" x14ac:dyDescent="0.2">
      <c r="A40" s="375" t="s">
        <v>899</v>
      </c>
      <c r="B40" s="384" t="s">
        <v>249</v>
      </c>
      <c r="C40" s="376" t="s">
        <v>250</v>
      </c>
      <c r="D40" s="358" t="s">
        <v>704</v>
      </c>
      <c r="E40" s="359">
        <v>1</v>
      </c>
      <c r="F40" s="360">
        <f>'Затраты подрядчика'!O55</f>
        <v>1167.77</v>
      </c>
      <c r="G40" s="476">
        <f t="shared" si="2"/>
        <v>1.1025839</v>
      </c>
      <c r="H40" s="363">
        <f>F40*G40</f>
        <v>1287.56</v>
      </c>
      <c r="I40" s="478">
        <f t="shared" si="11"/>
        <v>1.0645064</v>
      </c>
      <c r="J40" s="364">
        <f>H40*I40</f>
        <v>1370.62</v>
      </c>
      <c r="K40" s="365">
        <f>H40+(J40-H40)*(1-30/100)</f>
        <v>1345.7</v>
      </c>
      <c r="L40" s="365"/>
      <c r="N40" s="515"/>
    </row>
    <row r="41" spans="1:14" s="142" customFormat="1" ht="31.5" collapsed="1" x14ac:dyDescent="0.2">
      <c r="A41" s="132" t="s">
        <v>610</v>
      </c>
      <c r="B41" s="348" t="s">
        <v>1026</v>
      </c>
      <c r="C41" s="121" t="s">
        <v>203</v>
      </c>
      <c r="D41" s="329" t="s">
        <v>704</v>
      </c>
      <c r="E41" s="330">
        <v>1</v>
      </c>
      <c r="F41" s="328">
        <f>SUM(F42:F46)</f>
        <v>3535942.58</v>
      </c>
      <c r="G41" s="476">
        <f t="shared" si="2"/>
        <v>1.1025839</v>
      </c>
      <c r="H41" s="328">
        <f>F41*G41</f>
        <v>3898673.36</v>
      </c>
      <c r="I41" s="478">
        <f t="shared" si="11"/>
        <v>1.0645064</v>
      </c>
      <c r="J41" s="328">
        <f>H41*I41</f>
        <v>4150162.74</v>
      </c>
      <c r="K41" s="334">
        <f t="shared" si="9"/>
        <v>4074715.93</v>
      </c>
      <c r="L41" s="328">
        <f>'Затраты подрядчика'!M56*K41/F41</f>
        <v>3052076.79</v>
      </c>
      <c r="N41" s="515"/>
    </row>
    <row r="42" spans="1:14" hidden="1" outlineLevel="1" x14ac:dyDescent="0.2">
      <c r="A42" s="375" t="s">
        <v>900</v>
      </c>
      <c r="B42" s="384"/>
      <c r="C42" s="376" t="s">
        <v>362</v>
      </c>
      <c r="D42" s="358" t="s">
        <v>704</v>
      </c>
      <c r="E42" s="359">
        <v>1</v>
      </c>
      <c r="F42" s="360">
        <f>'Затраты подрядчика'!O57</f>
        <v>485959.36</v>
      </c>
      <c r="G42" s="476">
        <f t="shared" si="2"/>
        <v>1.1025839</v>
      </c>
      <c r="H42" s="481">
        <f>F42*G42+0.01</f>
        <v>535810.98</v>
      </c>
      <c r="I42" s="478">
        <f t="shared" si="11"/>
        <v>1.0645064</v>
      </c>
      <c r="J42" s="364">
        <f t="shared" si="8"/>
        <v>570374.22</v>
      </c>
      <c r="K42" s="365">
        <f t="shared" si="9"/>
        <v>560005.25</v>
      </c>
      <c r="L42" s="365"/>
      <c r="N42" s="515"/>
    </row>
    <row r="43" spans="1:14" hidden="1" outlineLevel="1" x14ac:dyDescent="0.2">
      <c r="A43" s="375" t="s">
        <v>901</v>
      </c>
      <c r="B43" s="384"/>
      <c r="C43" s="376" t="s">
        <v>364</v>
      </c>
      <c r="D43" s="358" t="s">
        <v>704</v>
      </c>
      <c r="E43" s="359">
        <v>1</v>
      </c>
      <c r="F43" s="360">
        <f>'Затраты подрядчика'!O58</f>
        <v>2672093.02</v>
      </c>
      <c r="G43" s="476">
        <f t="shared" si="2"/>
        <v>1.1025839</v>
      </c>
      <c r="H43" s="363">
        <f t="shared" si="10"/>
        <v>2946206.74</v>
      </c>
      <c r="I43" s="478">
        <f t="shared" si="11"/>
        <v>1.0645064</v>
      </c>
      <c r="J43" s="364">
        <f t="shared" si="8"/>
        <v>3136255.93</v>
      </c>
      <c r="K43" s="365">
        <f t="shared" si="9"/>
        <v>3079241.17</v>
      </c>
      <c r="L43" s="502">
        <f>'Затраты подрядчика'!M58*K43/F43-0.01</f>
        <v>2885748.1</v>
      </c>
      <c r="N43" s="515"/>
    </row>
    <row r="44" spans="1:14" hidden="1" outlineLevel="1" x14ac:dyDescent="0.2">
      <c r="A44" s="375" t="s">
        <v>902</v>
      </c>
      <c r="B44" s="384"/>
      <c r="C44" s="376" t="s">
        <v>365</v>
      </c>
      <c r="D44" s="358" t="s">
        <v>704</v>
      </c>
      <c r="E44" s="359">
        <v>1</v>
      </c>
      <c r="F44" s="360">
        <f>'Затраты подрядчика'!O59</f>
        <v>121524.98</v>
      </c>
      <c r="G44" s="476">
        <f t="shared" si="2"/>
        <v>1.1025839</v>
      </c>
      <c r="H44" s="363">
        <f t="shared" si="10"/>
        <v>133991.49</v>
      </c>
      <c r="I44" s="478">
        <f t="shared" si="11"/>
        <v>1.0645064</v>
      </c>
      <c r="J44" s="364">
        <f t="shared" si="8"/>
        <v>142634.79999999999</v>
      </c>
      <c r="K44" s="365">
        <f t="shared" si="9"/>
        <v>140041.81</v>
      </c>
      <c r="L44" s="365">
        <f>'Затраты подрядчика'!M59*K44/F44</f>
        <v>85733.03</v>
      </c>
      <c r="N44" s="515"/>
    </row>
    <row r="45" spans="1:14" s="143" customFormat="1" hidden="1" outlineLevel="1" x14ac:dyDescent="0.2">
      <c r="A45" s="375" t="s">
        <v>903</v>
      </c>
      <c r="B45" s="384"/>
      <c r="C45" s="376" t="s">
        <v>368</v>
      </c>
      <c r="D45" s="358" t="s">
        <v>704</v>
      </c>
      <c r="E45" s="359">
        <v>1</v>
      </c>
      <c r="F45" s="360">
        <f>'Затраты подрядчика'!O60</f>
        <v>73859.37</v>
      </c>
      <c r="G45" s="476">
        <f t="shared" si="2"/>
        <v>1.1025839</v>
      </c>
      <c r="H45" s="363">
        <f t="shared" si="10"/>
        <v>81436.149999999994</v>
      </c>
      <c r="I45" s="478">
        <f t="shared" si="11"/>
        <v>1.0645064</v>
      </c>
      <c r="J45" s="364">
        <f t="shared" si="8"/>
        <v>86689.3</v>
      </c>
      <c r="K45" s="365">
        <f t="shared" si="9"/>
        <v>85113.36</v>
      </c>
      <c r="L45" s="365">
        <f>'Затраты подрядчика'!M60*K45/F45</f>
        <v>80595.64</v>
      </c>
      <c r="N45" s="515"/>
    </row>
    <row r="46" spans="1:14" ht="31.5" hidden="1" customHeight="1" outlineLevel="1" x14ac:dyDescent="0.2">
      <c r="A46" s="375" t="s">
        <v>904</v>
      </c>
      <c r="B46" s="384" t="s">
        <v>251</v>
      </c>
      <c r="C46" s="376" t="s">
        <v>252</v>
      </c>
      <c r="D46" s="358" t="s">
        <v>704</v>
      </c>
      <c r="E46" s="359">
        <v>1</v>
      </c>
      <c r="F46" s="360">
        <f>'Затраты подрядчика'!O61</f>
        <v>182505.85</v>
      </c>
      <c r="G46" s="476">
        <f t="shared" si="2"/>
        <v>1.1025839</v>
      </c>
      <c r="H46" s="363">
        <f>F46*G46</f>
        <v>201228.01</v>
      </c>
      <c r="I46" s="478">
        <f t="shared" si="11"/>
        <v>1.0645064</v>
      </c>
      <c r="J46" s="364">
        <f>H46*I46</f>
        <v>214208.5</v>
      </c>
      <c r="K46" s="365">
        <f>H46+(J46-H46)*(1-30/100)</f>
        <v>210314.35</v>
      </c>
      <c r="L46" s="365"/>
      <c r="N46" s="515"/>
    </row>
    <row r="47" spans="1:14" s="142" customFormat="1" ht="31.5" collapsed="1" x14ac:dyDescent="0.2">
      <c r="A47" s="132" t="s">
        <v>611</v>
      </c>
      <c r="B47" s="348" t="s">
        <v>1027</v>
      </c>
      <c r="C47" s="121" t="s">
        <v>205</v>
      </c>
      <c r="D47" s="329" t="s">
        <v>704</v>
      </c>
      <c r="E47" s="330">
        <v>1</v>
      </c>
      <c r="F47" s="328">
        <f>'Затраты подрядчика'!O62</f>
        <v>136364.26</v>
      </c>
      <c r="G47" s="476">
        <f t="shared" si="2"/>
        <v>1.1025839</v>
      </c>
      <c r="H47" s="331">
        <f t="shared" si="10"/>
        <v>150353.04</v>
      </c>
      <c r="I47" s="478">
        <f t="shared" si="11"/>
        <v>1.0645064</v>
      </c>
      <c r="J47" s="333">
        <f t="shared" si="8"/>
        <v>160051.76999999999</v>
      </c>
      <c r="K47" s="334">
        <f t="shared" si="9"/>
        <v>157142.15</v>
      </c>
      <c r="L47" s="334">
        <f>'Затраты подрядчика'!M62*K47/F47</f>
        <v>39873.629999999997</v>
      </c>
      <c r="N47" s="515"/>
    </row>
    <row r="48" spans="1:14" s="142" customFormat="1" ht="31.5" x14ac:dyDescent="0.2">
      <c r="A48" s="132" t="s">
        <v>612</v>
      </c>
      <c r="B48" s="348" t="s">
        <v>1028</v>
      </c>
      <c r="C48" s="121" t="s">
        <v>207</v>
      </c>
      <c r="D48" s="329" t="s">
        <v>704</v>
      </c>
      <c r="E48" s="330">
        <v>1</v>
      </c>
      <c r="F48" s="328">
        <f>SUM(F49:F53)</f>
        <v>5781476.7599999998</v>
      </c>
      <c r="G48" s="476">
        <f t="shared" si="2"/>
        <v>1.1025839</v>
      </c>
      <c r="H48" s="328">
        <f>F48*G48</f>
        <v>6374563.1900000004</v>
      </c>
      <c r="I48" s="478">
        <f t="shared" si="11"/>
        <v>1.0645064</v>
      </c>
      <c r="J48" s="328">
        <f>H48*I48</f>
        <v>6785763.3099999996</v>
      </c>
      <c r="K48" s="334">
        <f t="shared" si="9"/>
        <v>6662403.2699999996</v>
      </c>
      <c r="L48" s="328">
        <f>'Затраты подрядчика'!M63*K48/F48</f>
        <v>4765700.34</v>
      </c>
      <c r="N48" s="515"/>
    </row>
    <row r="49" spans="1:14" hidden="1" outlineLevel="1" x14ac:dyDescent="0.2">
      <c r="A49" s="375" t="s">
        <v>905</v>
      </c>
      <c r="B49" s="384"/>
      <c r="C49" s="376" t="s">
        <v>362</v>
      </c>
      <c r="D49" s="358" t="s">
        <v>704</v>
      </c>
      <c r="E49" s="359">
        <v>1</v>
      </c>
      <c r="F49" s="360">
        <f>'Затраты подрядчика'!O64</f>
        <v>756214.82</v>
      </c>
      <c r="G49" s="476">
        <f t="shared" si="2"/>
        <v>1.1025839</v>
      </c>
      <c r="H49" s="481">
        <f>F49*G49-0.01</f>
        <v>833790.28</v>
      </c>
      <c r="I49" s="478">
        <f t="shared" si="11"/>
        <v>1.0645064</v>
      </c>
      <c r="J49" s="499">
        <f>H49*I49+0.01</f>
        <v>887575.1</v>
      </c>
      <c r="K49" s="502">
        <f>H49+(J49-H49)*(1-30/100)-0.01</f>
        <v>871439.64</v>
      </c>
      <c r="L49" s="365"/>
      <c r="N49" s="515"/>
    </row>
    <row r="50" spans="1:14" hidden="1" outlineLevel="1" x14ac:dyDescent="0.2">
      <c r="A50" s="375" t="s">
        <v>906</v>
      </c>
      <c r="B50" s="384"/>
      <c r="C50" s="376" t="s">
        <v>364</v>
      </c>
      <c r="D50" s="358" t="s">
        <v>704</v>
      </c>
      <c r="E50" s="359">
        <v>1</v>
      </c>
      <c r="F50" s="360">
        <f>'Затраты подрядчика'!O65</f>
        <v>4260314.47</v>
      </c>
      <c r="G50" s="476">
        <f t="shared" si="2"/>
        <v>1.1025839</v>
      </c>
      <c r="H50" s="363">
        <f t="shared" si="10"/>
        <v>4697354.1399999997</v>
      </c>
      <c r="I50" s="478">
        <f t="shared" si="11"/>
        <v>1.0645064</v>
      </c>
      <c r="J50" s="364">
        <f t="shared" si="8"/>
        <v>5000363.55</v>
      </c>
      <c r="K50" s="365">
        <f t="shared" si="9"/>
        <v>4909460.7300000004</v>
      </c>
      <c r="L50" s="365">
        <f>'Затраты подрядчика'!M65*K50/F50</f>
        <v>4633495.22</v>
      </c>
      <c r="N50" s="515"/>
    </row>
    <row r="51" spans="1:14" hidden="1" outlineLevel="1" x14ac:dyDescent="0.2">
      <c r="A51" s="375" t="s">
        <v>907</v>
      </c>
      <c r="B51" s="384"/>
      <c r="C51" s="376" t="s">
        <v>365</v>
      </c>
      <c r="D51" s="358" t="s">
        <v>704</v>
      </c>
      <c r="E51" s="359">
        <v>1</v>
      </c>
      <c r="F51" s="360">
        <f>'Затраты подрядчика'!O66</f>
        <v>404930.27</v>
      </c>
      <c r="G51" s="476">
        <f t="shared" si="2"/>
        <v>1.1025839</v>
      </c>
      <c r="H51" s="363">
        <f t="shared" si="10"/>
        <v>446469.6</v>
      </c>
      <c r="I51" s="478">
        <f t="shared" si="11"/>
        <v>1.0645064</v>
      </c>
      <c r="J51" s="364">
        <f t="shared" si="8"/>
        <v>475269.75</v>
      </c>
      <c r="K51" s="365">
        <f t="shared" si="9"/>
        <v>466629.71</v>
      </c>
      <c r="L51" s="365">
        <f>'Затраты подрядчика'!M66*K51/F51</f>
        <v>64523.65</v>
      </c>
      <c r="N51" s="515"/>
    </row>
    <row r="52" spans="1:14" hidden="1" outlineLevel="1" x14ac:dyDescent="0.2">
      <c r="A52" s="375" t="s">
        <v>908</v>
      </c>
      <c r="B52" s="384"/>
      <c r="C52" s="376" t="s">
        <v>368</v>
      </c>
      <c r="D52" s="358" t="s">
        <v>704</v>
      </c>
      <c r="E52" s="359">
        <v>1</v>
      </c>
      <c r="F52" s="360">
        <f>'Затраты подрядчика'!O67</f>
        <v>62903.01</v>
      </c>
      <c r="G52" s="476">
        <f t="shared" si="2"/>
        <v>1.1025839</v>
      </c>
      <c r="H52" s="363">
        <f t="shared" si="10"/>
        <v>69355.850000000006</v>
      </c>
      <c r="I52" s="478">
        <f t="shared" si="11"/>
        <v>1.0645064</v>
      </c>
      <c r="J52" s="364">
        <f t="shared" si="8"/>
        <v>73829.75</v>
      </c>
      <c r="K52" s="365">
        <f t="shared" si="9"/>
        <v>72487.58</v>
      </c>
      <c r="L52" s="365">
        <f>'Затраты подрядчика'!M67*K52/F52</f>
        <v>67681.490000000005</v>
      </c>
      <c r="N52" s="515"/>
    </row>
    <row r="53" spans="1:14" ht="31.5" hidden="1" customHeight="1" outlineLevel="1" x14ac:dyDescent="0.2">
      <c r="A53" s="375" t="s">
        <v>909</v>
      </c>
      <c r="B53" s="384" t="s">
        <v>253</v>
      </c>
      <c r="C53" s="376" t="s">
        <v>254</v>
      </c>
      <c r="D53" s="358" t="s">
        <v>704</v>
      </c>
      <c r="E53" s="359">
        <v>1</v>
      </c>
      <c r="F53" s="360">
        <f>'Затраты подрядчика'!O68</f>
        <v>297114.19</v>
      </c>
      <c r="G53" s="476">
        <f t="shared" si="2"/>
        <v>1.1025839</v>
      </c>
      <c r="H53" s="363">
        <f>F53*G53</f>
        <v>327593.32</v>
      </c>
      <c r="I53" s="478">
        <f t="shared" si="11"/>
        <v>1.0645064</v>
      </c>
      <c r="J53" s="364">
        <f>H53*I53</f>
        <v>348725.19</v>
      </c>
      <c r="K53" s="365">
        <f>H53+(J53-H53)*(1-30/100)</f>
        <v>342385.63</v>
      </c>
      <c r="L53" s="365"/>
      <c r="N53" s="515"/>
    </row>
    <row r="54" spans="1:14" s="142" customFormat="1" ht="31.5" collapsed="1" x14ac:dyDescent="0.2">
      <c r="A54" s="132" t="s">
        <v>613</v>
      </c>
      <c r="B54" s="348" t="s">
        <v>1029</v>
      </c>
      <c r="C54" s="121" t="s">
        <v>209</v>
      </c>
      <c r="D54" s="329" t="s">
        <v>704</v>
      </c>
      <c r="E54" s="330">
        <v>1</v>
      </c>
      <c r="F54" s="328">
        <f>'Затраты подрядчика'!O69</f>
        <v>494294.26</v>
      </c>
      <c r="G54" s="476">
        <f t="shared" si="2"/>
        <v>1.1025839</v>
      </c>
      <c r="H54" s="331">
        <f t="shared" si="10"/>
        <v>545000.89</v>
      </c>
      <c r="I54" s="478">
        <f t="shared" si="11"/>
        <v>1.0645064</v>
      </c>
      <c r="J54" s="333">
        <f t="shared" si="8"/>
        <v>580156.93999999994</v>
      </c>
      <c r="K54" s="334">
        <f t="shared" si="9"/>
        <v>569610.13</v>
      </c>
      <c r="L54" s="334">
        <f>'Затраты подрядчика'!M69*K54/F54</f>
        <v>73525.850000000006</v>
      </c>
      <c r="N54" s="515"/>
    </row>
    <row r="55" spans="1:14" s="142" customFormat="1" ht="24.75" customHeight="1" x14ac:dyDescent="0.2">
      <c r="A55" s="132" t="s">
        <v>614</v>
      </c>
      <c r="B55" s="348" t="s">
        <v>1030</v>
      </c>
      <c r="C55" s="121" t="s">
        <v>211</v>
      </c>
      <c r="D55" s="329" t="s">
        <v>704</v>
      </c>
      <c r="E55" s="330">
        <v>1</v>
      </c>
      <c r="F55" s="328">
        <f>SUM(F56:F59)</f>
        <v>100007200.03</v>
      </c>
      <c r="G55" s="476">
        <f t="shared" si="2"/>
        <v>1.1025839</v>
      </c>
      <c r="H55" s="328">
        <f>F55*G55</f>
        <v>110266328.64</v>
      </c>
      <c r="I55" s="478">
        <f t="shared" si="11"/>
        <v>1.0645064</v>
      </c>
      <c r="J55" s="328">
        <f>H55*I55</f>
        <v>117379212.54000001</v>
      </c>
      <c r="K55" s="334">
        <f t="shared" si="9"/>
        <v>115245347.37</v>
      </c>
      <c r="L55" s="328"/>
      <c r="N55" s="515"/>
    </row>
    <row r="56" spans="1:14" hidden="1" outlineLevel="1" x14ac:dyDescent="0.2">
      <c r="A56" s="375" t="s">
        <v>994</v>
      </c>
      <c r="B56" s="384"/>
      <c r="C56" s="376" t="s">
        <v>374</v>
      </c>
      <c r="D56" s="358" t="s">
        <v>704</v>
      </c>
      <c r="E56" s="359">
        <v>1</v>
      </c>
      <c r="F56" s="360">
        <f>'Затраты подрядчика'!O71</f>
        <v>45795622.359999999</v>
      </c>
      <c r="G56" s="476">
        <f t="shared" si="2"/>
        <v>1.1025839</v>
      </c>
      <c r="H56" s="481">
        <f>F56*G56-0.01</f>
        <v>50493515.890000001</v>
      </c>
      <c r="I56" s="478">
        <f t="shared" si="11"/>
        <v>1.0645064</v>
      </c>
      <c r="J56" s="364">
        <f t="shared" si="8"/>
        <v>53750670.82</v>
      </c>
      <c r="K56" s="502">
        <f>H56+(J56-H56)*(1-30/100)-0.01</f>
        <v>52773524.329999998</v>
      </c>
      <c r="L56" s="365"/>
      <c r="N56" s="515"/>
    </row>
    <row r="57" spans="1:14" hidden="1" outlineLevel="1" x14ac:dyDescent="0.2">
      <c r="A57" s="375" t="s">
        <v>995</v>
      </c>
      <c r="B57" s="384"/>
      <c r="C57" s="376" t="s">
        <v>378</v>
      </c>
      <c r="D57" s="358" t="s">
        <v>704</v>
      </c>
      <c r="E57" s="359">
        <v>1</v>
      </c>
      <c r="F57" s="360">
        <f>'Затраты подрядчика'!O72</f>
        <v>32959405.390000001</v>
      </c>
      <c r="G57" s="476">
        <f t="shared" si="2"/>
        <v>1.1025839</v>
      </c>
      <c r="H57" s="363">
        <f t="shared" si="10"/>
        <v>36340509.740000002</v>
      </c>
      <c r="I57" s="478">
        <f t="shared" si="11"/>
        <v>1.0645064</v>
      </c>
      <c r="J57" s="364">
        <f t="shared" si="8"/>
        <v>38684705.200000003</v>
      </c>
      <c r="K57" s="365">
        <f t="shared" si="9"/>
        <v>37981446.560000002</v>
      </c>
      <c r="L57" s="365"/>
      <c r="N57" s="515"/>
    </row>
    <row r="58" spans="1:14" hidden="1" outlineLevel="1" x14ac:dyDescent="0.2">
      <c r="A58" s="375" t="s">
        <v>996</v>
      </c>
      <c r="B58" s="384"/>
      <c r="C58" s="376" t="s">
        <v>379</v>
      </c>
      <c r="D58" s="358" t="s">
        <v>704</v>
      </c>
      <c r="E58" s="359">
        <v>1</v>
      </c>
      <c r="F58" s="360">
        <f>'Затраты подрядчика'!O73</f>
        <v>3878249.31</v>
      </c>
      <c r="G58" s="476">
        <f t="shared" si="2"/>
        <v>1.1025839</v>
      </c>
      <c r="H58" s="363">
        <f t="shared" si="10"/>
        <v>4276095.25</v>
      </c>
      <c r="I58" s="478">
        <f t="shared" si="11"/>
        <v>1.0645064</v>
      </c>
      <c r="J58" s="364">
        <f t="shared" si="8"/>
        <v>4551930.76</v>
      </c>
      <c r="K58" s="365">
        <f t="shared" si="9"/>
        <v>4469180.1100000003</v>
      </c>
      <c r="L58" s="365"/>
      <c r="N58" s="515"/>
    </row>
    <row r="59" spans="1:14" ht="31.5" hidden="1" customHeight="1" outlineLevel="1" x14ac:dyDescent="0.2">
      <c r="A59" s="375" t="s">
        <v>997</v>
      </c>
      <c r="B59" s="384" t="s">
        <v>255</v>
      </c>
      <c r="C59" s="376" t="s">
        <v>256</v>
      </c>
      <c r="D59" s="358" t="s">
        <v>704</v>
      </c>
      <c r="E59" s="359">
        <v>1</v>
      </c>
      <c r="F59" s="360">
        <f>'Затраты подрядчика'!O74</f>
        <v>17373922.969999999</v>
      </c>
      <c r="G59" s="476">
        <f t="shared" si="2"/>
        <v>1.1025839</v>
      </c>
      <c r="H59" s="363">
        <f>F59*G59</f>
        <v>19156207.75</v>
      </c>
      <c r="I59" s="478">
        <f t="shared" si="11"/>
        <v>1.0645064</v>
      </c>
      <c r="J59" s="364">
        <f>H59*I59</f>
        <v>20391905.75</v>
      </c>
      <c r="K59" s="365">
        <f>H59+(J59-H59)*(1-30/100)</f>
        <v>20021196.350000001</v>
      </c>
      <c r="L59" s="365"/>
      <c r="N59" s="515"/>
    </row>
    <row r="60" spans="1:14" s="142" customFormat="1" ht="31.5" collapsed="1" x14ac:dyDescent="0.2">
      <c r="A60" s="132" t="s">
        <v>615</v>
      </c>
      <c r="B60" s="348" t="s">
        <v>1031</v>
      </c>
      <c r="C60" s="121" t="s">
        <v>213</v>
      </c>
      <c r="D60" s="329" t="s">
        <v>704</v>
      </c>
      <c r="E60" s="330">
        <v>1</v>
      </c>
      <c r="F60" s="328">
        <f>'Затраты подрядчика'!O75</f>
        <v>1408340.43</v>
      </c>
      <c r="G60" s="476">
        <f t="shared" si="2"/>
        <v>1.1025839</v>
      </c>
      <c r="H60" s="331">
        <f t="shared" si="10"/>
        <v>1552813.48</v>
      </c>
      <c r="I60" s="478">
        <f t="shared" si="11"/>
        <v>1.0645064</v>
      </c>
      <c r="J60" s="333">
        <f t="shared" si="8"/>
        <v>1652979.89</v>
      </c>
      <c r="K60" s="334">
        <f t="shared" si="9"/>
        <v>1622929.97</v>
      </c>
      <c r="L60" s="334">
        <f>'Затраты подрядчика'!M75*K60/F60</f>
        <v>23848.77</v>
      </c>
      <c r="N60" s="515"/>
    </row>
    <row r="61" spans="1:14" s="142" customFormat="1" x14ac:dyDescent="0.2">
      <c r="A61" s="132" t="s">
        <v>616</v>
      </c>
      <c r="B61" s="348" t="s">
        <v>1032</v>
      </c>
      <c r="C61" s="121" t="s">
        <v>215</v>
      </c>
      <c r="D61" s="329" t="s">
        <v>704</v>
      </c>
      <c r="E61" s="330">
        <v>1</v>
      </c>
      <c r="F61" s="328">
        <f>SUM(F62:F64)</f>
        <v>283293.82</v>
      </c>
      <c r="G61" s="476">
        <f t="shared" si="2"/>
        <v>1.1025839</v>
      </c>
      <c r="H61" s="331">
        <f t="shared" si="10"/>
        <v>312355.20000000001</v>
      </c>
      <c r="I61" s="478">
        <f t="shared" si="11"/>
        <v>1.0645064</v>
      </c>
      <c r="J61" s="333">
        <f t="shared" si="8"/>
        <v>332504.11</v>
      </c>
      <c r="K61" s="334">
        <f t="shared" si="9"/>
        <v>326459.44</v>
      </c>
      <c r="L61" s="334">
        <f>'Затраты подрядчика'!M76*K61/F61</f>
        <v>144789.35999999999</v>
      </c>
      <c r="N61" s="515"/>
    </row>
    <row r="62" spans="1:14" ht="31.5" hidden="1" outlineLevel="1" x14ac:dyDescent="0.2">
      <c r="A62" s="375" t="s">
        <v>998</v>
      </c>
      <c r="B62" s="384"/>
      <c r="C62" s="376" t="s">
        <v>381</v>
      </c>
      <c r="D62" s="358" t="s">
        <v>704</v>
      </c>
      <c r="E62" s="359">
        <v>1</v>
      </c>
      <c r="F62" s="360">
        <f>'Затраты подрядчика'!O77</f>
        <v>45191.17</v>
      </c>
      <c r="G62" s="476">
        <f t="shared" si="2"/>
        <v>1.1025839</v>
      </c>
      <c r="H62" s="363">
        <f t="shared" si="10"/>
        <v>49827.06</v>
      </c>
      <c r="I62" s="478">
        <f t="shared" si="11"/>
        <v>1.0645064</v>
      </c>
      <c r="J62" s="364">
        <f t="shared" si="8"/>
        <v>53041.22</v>
      </c>
      <c r="K62" s="365">
        <f t="shared" si="9"/>
        <v>52076.97</v>
      </c>
      <c r="L62" s="502">
        <f>'Затраты подрядчика'!M77*K62/F62+0.01</f>
        <v>25451.26</v>
      </c>
      <c r="N62" s="515"/>
    </row>
    <row r="63" spans="1:14" ht="31.5" hidden="1" outlineLevel="1" x14ac:dyDescent="0.2">
      <c r="A63" s="375" t="s">
        <v>999</v>
      </c>
      <c r="B63" s="384"/>
      <c r="C63" s="376" t="s">
        <v>382</v>
      </c>
      <c r="D63" s="358" t="s">
        <v>704</v>
      </c>
      <c r="E63" s="359">
        <v>1</v>
      </c>
      <c r="F63" s="360">
        <f>'Затраты подрядчика'!O78</f>
        <v>36693.230000000003</v>
      </c>
      <c r="G63" s="476">
        <f t="shared" si="2"/>
        <v>1.1025839</v>
      </c>
      <c r="H63" s="363">
        <f t="shared" si="10"/>
        <v>40457.360000000001</v>
      </c>
      <c r="I63" s="478">
        <f t="shared" si="11"/>
        <v>1.0645064</v>
      </c>
      <c r="J63" s="364">
        <f t="shared" si="8"/>
        <v>43067.12</v>
      </c>
      <c r="K63" s="365">
        <f t="shared" si="9"/>
        <v>42284.19</v>
      </c>
      <c r="L63" s="365">
        <f>'Затраты подрядчика'!M78*K63/F63</f>
        <v>19983.95</v>
      </c>
      <c r="N63" s="515"/>
    </row>
    <row r="64" spans="1:14" ht="31.5" hidden="1" outlineLevel="1" x14ac:dyDescent="0.2">
      <c r="A64" s="375" t="s">
        <v>1000</v>
      </c>
      <c r="B64" s="384"/>
      <c r="C64" s="376" t="s">
        <v>385</v>
      </c>
      <c r="D64" s="358" t="s">
        <v>704</v>
      </c>
      <c r="E64" s="359">
        <v>1</v>
      </c>
      <c r="F64" s="360">
        <f>'Затраты подрядчика'!O79</f>
        <v>201409.42</v>
      </c>
      <c r="G64" s="476">
        <f t="shared" si="2"/>
        <v>1.1025839</v>
      </c>
      <c r="H64" s="363">
        <f t="shared" si="10"/>
        <v>222070.78</v>
      </c>
      <c r="I64" s="478">
        <f t="shared" si="11"/>
        <v>1.0645064</v>
      </c>
      <c r="J64" s="364">
        <f t="shared" si="8"/>
        <v>236395.77</v>
      </c>
      <c r="K64" s="365">
        <f t="shared" si="9"/>
        <v>232098.27</v>
      </c>
      <c r="L64" s="365">
        <f>'Затраты подрядчика'!M79*K64/F64</f>
        <v>99354.16</v>
      </c>
      <c r="N64" s="515"/>
    </row>
    <row r="65" spans="1:14" s="142" customFormat="1" collapsed="1" x14ac:dyDescent="0.2">
      <c r="A65" s="132" t="s">
        <v>617</v>
      </c>
      <c r="B65" s="348" t="s">
        <v>1033</v>
      </c>
      <c r="C65" s="121" t="s">
        <v>217</v>
      </c>
      <c r="D65" s="329" t="s">
        <v>704</v>
      </c>
      <c r="E65" s="330">
        <v>1</v>
      </c>
      <c r="F65" s="328">
        <f>SUM(F66:F68)</f>
        <v>184082.11</v>
      </c>
      <c r="G65" s="476">
        <f t="shared" si="2"/>
        <v>1.1025839</v>
      </c>
      <c r="H65" s="331">
        <f t="shared" si="10"/>
        <v>202965.97</v>
      </c>
      <c r="I65" s="478">
        <f t="shared" si="11"/>
        <v>1.0645064</v>
      </c>
      <c r="J65" s="333">
        <f t="shared" si="8"/>
        <v>216058.57</v>
      </c>
      <c r="K65" s="334">
        <f t="shared" si="9"/>
        <v>212130.79</v>
      </c>
      <c r="L65" s="334">
        <f>'Затраты подрядчика'!M80*K65/F65</f>
        <v>137059.72</v>
      </c>
      <c r="N65" s="515"/>
    </row>
    <row r="66" spans="1:14" hidden="1" outlineLevel="1" x14ac:dyDescent="0.2">
      <c r="A66" s="375" t="s">
        <v>1001</v>
      </c>
      <c r="B66" s="384"/>
      <c r="C66" s="376" t="s">
        <v>389</v>
      </c>
      <c r="D66" s="358" t="s">
        <v>704</v>
      </c>
      <c r="E66" s="359">
        <v>1</v>
      </c>
      <c r="F66" s="360">
        <f>'Затраты подрядчика'!O81</f>
        <v>58023.93</v>
      </c>
      <c r="G66" s="476">
        <f t="shared" si="2"/>
        <v>1.1025839</v>
      </c>
      <c r="H66" s="363">
        <f t="shared" si="10"/>
        <v>63976.25</v>
      </c>
      <c r="I66" s="478">
        <f t="shared" si="11"/>
        <v>1.0645064</v>
      </c>
      <c r="J66" s="364">
        <f t="shared" si="8"/>
        <v>68103.13</v>
      </c>
      <c r="K66" s="502">
        <f>H66+(J66-H66)*(1-30/100)-0.01</f>
        <v>66865.06</v>
      </c>
      <c r="L66" s="365">
        <f>'Затраты подрядчика'!M81*K66/F66</f>
        <v>33510.82</v>
      </c>
      <c r="N66" s="515"/>
    </row>
    <row r="67" spans="1:14" hidden="1" outlineLevel="1" x14ac:dyDescent="0.2">
      <c r="A67" s="375" t="s">
        <v>1002</v>
      </c>
      <c r="B67" s="384"/>
      <c r="C67" s="376" t="s">
        <v>390</v>
      </c>
      <c r="D67" s="358" t="s">
        <v>704</v>
      </c>
      <c r="E67" s="359">
        <v>1</v>
      </c>
      <c r="F67" s="360">
        <f>'Затраты подрядчика'!O82</f>
        <v>47238.38</v>
      </c>
      <c r="G67" s="476">
        <f t="shared" si="2"/>
        <v>1.1025839</v>
      </c>
      <c r="H67" s="363">
        <f t="shared" si="10"/>
        <v>52084.28</v>
      </c>
      <c r="I67" s="478">
        <f t="shared" si="11"/>
        <v>1.0645064</v>
      </c>
      <c r="J67" s="364">
        <f t="shared" si="8"/>
        <v>55444.05</v>
      </c>
      <c r="K67" s="365">
        <f t="shared" si="9"/>
        <v>54436.12</v>
      </c>
      <c r="L67" s="365">
        <f>'Затраты подрядчика'!M82*K67/F67</f>
        <v>30117.32</v>
      </c>
      <c r="N67" s="515"/>
    </row>
    <row r="68" spans="1:14" hidden="1" outlineLevel="1" x14ac:dyDescent="0.2">
      <c r="A68" s="375" t="s">
        <v>1003</v>
      </c>
      <c r="B68" s="384"/>
      <c r="C68" s="376" t="s">
        <v>391</v>
      </c>
      <c r="D68" s="358" t="s">
        <v>704</v>
      </c>
      <c r="E68" s="359">
        <v>1</v>
      </c>
      <c r="F68" s="360">
        <f>'Затраты подрядчика'!O83</f>
        <v>78819.8</v>
      </c>
      <c r="G68" s="476">
        <f t="shared" si="2"/>
        <v>1.1025839</v>
      </c>
      <c r="H68" s="363">
        <f t="shared" si="10"/>
        <v>86905.44</v>
      </c>
      <c r="I68" s="478">
        <f t="shared" si="11"/>
        <v>1.0645064</v>
      </c>
      <c r="J68" s="364">
        <f t="shared" si="8"/>
        <v>92511.4</v>
      </c>
      <c r="K68" s="365">
        <f t="shared" si="9"/>
        <v>90829.61</v>
      </c>
      <c r="L68" s="365">
        <f>'Затраты подрядчика'!M83*K68/F68</f>
        <v>73431.58</v>
      </c>
      <c r="N68" s="515"/>
    </row>
    <row r="69" spans="1:14" s="142" customFormat="1" ht="31.5" collapsed="1" x14ac:dyDescent="0.2">
      <c r="A69" s="132" t="s">
        <v>618</v>
      </c>
      <c r="B69" s="348" t="s">
        <v>1034</v>
      </c>
      <c r="C69" s="121" t="s">
        <v>219</v>
      </c>
      <c r="D69" s="329" t="s">
        <v>704</v>
      </c>
      <c r="E69" s="330">
        <v>1</v>
      </c>
      <c r="F69" s="328">
        <f>SUM(F70:F71)</f>
        <v>1331630.4099999999</v>
      </c>
      <c r="G69" s="476">
        <f t="shared" si="2"/>
        <v>1.1025839</v>
      </c>
      <c r="H69" s="331">
        <f t="shared" si="10"/>
        <v>1468234.25</v>
      </c>
      <c r="I69" s="478">
        <f t="shared" si="11"/>
        <v>1.0645064</v>
      </c>
      <c r="J69" s="333">
        <f t="shared" si="8"/>
        <v>1562944.76</v>
      </c>
      <c r="K69" s="334">
        <f t="shared" si="9"/>
        <v>1534531.61</v>
      </c>
      <c r="L69" s="334">
        <f>'Затраты подрядчика'!M84*K69/F69</f>
        <v>1224346.76</v>
      </c>
      <c r="N69" s="515"/>
    </row>
    <row r="70" spans="1:14" hidden="1" outlineLevel="1" x14ac:dyDescent="0.2">
      <c r="A70" s="375" t="s">
        <v>1004</v>
      </c>
      <c r="B70" s="384"/>
      <c r="C70" s="376" t="s">
        <v>394</v>
      </c>
      <c r="D70" s="358" t="s">
        <v>704</v>
      </c>
      <c r="E70" s="359">
        <v>1</v>
      </c>
      <c r="F70" s="360">
        <f>'Затраты подрядчика'!O85</f>
        <v>91014.63</v>
      </c>
      <c r="G70" s="476">
        <f t="shared" si="2"/>
        <v>1.1025839</v>
      </c>
      <c r="H70" s="481">
        <f>F70*G70+0.01</f>
        <v>100351.28</v>
      </c>
      <c r="I70" s="478">
        <f t="shared" si="11"/>
        <v>1.0645064</v>
      </c>
      <c r="J70" s="364">
        <f t="shared" si="8"/>
        <v>106824.58</v>
      </c>
      <c r="K70" s="365">
        <f t="shared" si="9"/>
        <v>104882.59</v>
      </c>
      <c r="L70" s="502">
        <f>'Затраты подрядчика'!M85*K70/F70-0.01</f>
        <v>94405.31</v>
      </c>
      <c r="N70" s="515"/>
    </row>
    <row r="71" spans="1:14" hidden="1" outlineLevel="1" x14ac:dyDescent="0.2">
      <c r="A71" s="375" t="s">
        <v>1005</v>
      </c>
      <c r="B71" s="384"/>
      <c r="C71" s="376" t="s">
        <v>395</v>
      </c>
      <c r="D71" s="358" t="s">
        <v>704</v>
      </c>
      <c r="E71" s="359">
        <v>1</v>
      </c>
      <c r="F71" s="360">
        <f>'Затраты подрядчика'!O86</f>
        <v>1240615.78</v>
      </c>
      <c r="G71" s="476">
        <f t="shared" si="2"/>
        <v>1.1025839</v>
      </c>
      <c r="H71" s="363">
        <f t="shared" si="10"/>
        <v>1367882.99</v>
      </c>
      <c r="I71" s="478">
        <f t="shared" si="11"/>
        <v>1.0645064</v>
      </c>
      <c r="J71" s="364">
        <f t="shared" si="8"/>
        <v>1456120.2</v>
      </c>
      <c r="K71" s="365">
        <f t="shared" si="9"/>
        <v>1429649.04</v>
      </c>
      <c r="L71" s="365">
        <f>'Затраты подрядчика'!M86*K71/F71</f>
        <v>1129941.46</v>
      </c>
      <c r="N71" s="515"/>
    </row>
    <row r="72" spans="1:14" s="142" customFormat="1" collapsed="1" x14ac:dyDescent="0.2">
      <c r="A72" s="132" t="s">
        <v>619</v>
      </c>
      <c r="B72" s="348" t="s">
        <v>1035</v>
      </c>
      <c r="C72" s="121" t="s">
        <v>221</v>
      </c>
      <c r="D72" s="329" t="s">
        <v>704</v>
      </c>
      <c r="E72" s="330">
        <v>1</v>
      </c>
      <c r="F72" s="328">
        <f>SUM(F73:F75)</f>
        <v>126138.66</v>
      </c>
      <c r="G72" s="476">
        <f t="shared" si="2"/>
        <v>1.1025839</v>
      </c>
      <c r="H72" s="331">
        <f t="shared" si="10"/>
        <v>139078.46</v>
      </c>
      <c r="I72" s="478">
        <f t="shared" si="11"/>
        <v>1.0645064</v>
      </c>
      <c r="J72" s="333">
        <f t="shared" si="8"/>
        <v>148049.91</v>
      </c>
      <c r="K72" s="334">
        <f t="shared" si="9"/>
        <v>145358.48000000001</v>
      </c>
      <c r="L72" s="334">
        <f>'Затраты подрядчика'!M87*K72/F72</f>
        <v>25686.92</v>
      </c>
      <c r="N72" s="515"/>
    </row>
    <row r="73" spans="1:14" ht="31.5" hidden="1" outlineLevel="1" x14ac:dyDescent="0.2">
      <c r="A73" s="375" t="s">
        <v>1182</v>
      </c>
      <c r="B73" s="384"/>
      <c r="C73" s="376" t="s">
        <v>381</v>
      </c>
      <c r="D73" s="358" t="s">
        <v>704</v>
      </c>
      <c r="E73" s="359">
        <v>1</v>
      </c>
      <c r="F73" s="360">
        <f>'Затраты подрядчика'!O88</f>
        <v>26289.52</v>
      </c>
      <c r="G73" s="476">
        <f t="shared" si="2"/>
        <v>1.1025839</v>
      </c>
      <c r="H73" s="481">
        <f>F73*G73-0.01</f>
        <v>28986.39</v>
      </c>
      <c r="I73" s="478">
        <f t="shared" si="11"/>
        <v>1.0645064</v>
      </c>
      <c r="J73" s="364">
        <f>H73*I73+0.01</f>
        <v>30856.21</v>
      </c>
      <c r="K73" s="502">
        <f>H73+(J73-H73)*(1-30/100)-0.01</f>
        <v>30295.25</v>
      </c>
      <c r="L73" s="502">
        <f>'Затраты подрядчика'!M88*K73/F73+0.01</f>
        <v>6457.08</v>
      </c>
      <c r="N73" s="515"/>
    </row>
    <row r="74" spans="1:14" ht="34.5" hidden="1" customHeight="1" outlineLevel="1" x14ac:dyDescent="0.2">
      <c r="A74" s="375" t="s">
        <v>1183</v>
      </c>
      <c r="B74" s="384"/>
      <c r="C74" s="376" t="s">
        <v>382</v>
      </c>
      <c r="D74" s="358" t="s">
        <v>704</v>
      </c>
      <c r="E74" s="359">
        <v>1</v>
      </c>
      <c r="F74" s="360">
        <f>'Затраты подрядчика'!O89</f>
        <v>27332.98</v>
      </c>
      <c r="G74" s="476">
        <f t="shared" si="2"/>
        <v>1.1025839</v>
      </c>
      <c r="H74" s="363">
        <f t="shared" si="10"/>
        <v>30136.9</v>
      </c>
      <c r="I74" s="478">
        <f t="shared" si="11"/>
        <v>1.0645064</v>
      </c>
      <c r="J74" s="364">
        <f t="shared" si="8"/>
        <v>32080.92</v>
      </c>
      <c r="K74" s="365">
        <f t="shared" si="9"/>
        <v>31497.71</v>
      </c>
      <c r="L74" s="365">
        <f>'Затраты подрядчика'!M89*K74/F74</f>
        <v>6409.94</v>
      </c>
      <c r="N74" s="515"/>
    </row>
    <row r="75" spans="1:14" ht="31.5" hidden="1" outlineLevel="1" x14ac:dyDescent="0.2">
      <c r="A75" s="375" t="s">
        <v>1184</v>
      </c>
      <c r="B75" s="384"/>
      <c r="C75" s="376" t="s">
        <v>385</v>
      </c>
      <c r="D75" s="358" t="s">
        <v>704</v>
      </c>
      <c r="E75" s="359">
        <v>1</v>
      </c>
      <c r="F75" s="360">
        <f>'Затраты подрядчика'!O90</f>
        <v>72516.160000000003</v>
      </c>
      <c r="G75" s="476">
        <f t="shared" si="2"/>
        <v>1.1025839</v>
      </c>
      <c r="H75" s="363">
        <f t="shared" si="10"/>
        <v>79955.149999999994</v>
      </c>
      <c r="I75" s="478">
        <f t="shared" si="11"/>
        <v>1.0645064</v>
      </c>
      <c r="J75" s="364">
        <f t="shared" si="8"/>
        <v>85112.77</v>
      </c>
      <c r="K75" s="365">
        <f t="shared" si="9"/>
        <v>83565.48</v>
      </c>
      <c r="L75" s="365">
        <f>'Затраты подрядчика'!M90*K75/F75</f>
        <v>12819.89</v>
      </c>
      <c r="N75" s="515"/>
    </row>
    <row r="76" spans="1:14" s="142" customFormat="1" ht="47.25" collapsed="1" x14ac:dyDescent="0.2">
      <c r="A76" s="132" t="s">
        <v>620</v>
      </c>
      <c r="B76" s="348" t="s">
        <v>1036</v>
      </c>
      <c r="C76" s="327" t="s">
        <v>880</v>
      </c>
      <c r="D76" s="329" t="s">
        <v>704</v>
      </c>
      <c r="E76" s="330">
        <v>1</v>
      </c>
      <c r="F76" s="328">
        <f>'Затраты подрядчика'!O91</f>
        <v>1499584.17</v>
      </c>
      <c r="G76" s="476">
        <f t="shared" si="2"/>
        <v>1.1025839</v>
      </c>
      <c r="H76" s="331">
        <f t="shared" si="10"/>
        <v>1653417.36</v>
      </c>
      <c r="I76" s="478">
        <f t="shared" si="11"/>
        <v>1.0645064</v>
      </c>
      <c r="J76" s="333">
        <f t="shared" si="8"/>
        <v>1760073.36</v>
      </c>
      <c r="K76" s="334">
        <f t="shared" si="9"/>
        <v>1728076.56</v>
      </c>
      <c r="L76" s="334"/>
      <c r="N76" s="515"/>
    </row>
    <row r="77" spans="1:14" s="145" customFormat="1" ht="27" customHeight="1" x14ac:dyDescent="0.2">
      <c r="A77" s="134" t="s">
        <v>625</v>
      </c>
      <c r="B77" s="347" t="s">
        <v>1037</v>
      </c>
      <c r="C77" s="133" t="s">
        <v>38</v>
      </c>
      <c r="D77" s="120" t="s">
        <v>704</v>
      </c>
      <c r="E77" s="119">
        <v>1</v>
      </c>
      <c r="F77" s="150">
        <f>F78+F84+F88+F93+F99+F100+F106+F107+F111+F112+F116+F120+F121+F125</f>
        <v>80655849.599999994</v>
      </c>
      <c r="G77" s="476"/>
      <c r="H77" s="150">
        <f>H78+H84+H88+H93+H99+H100+H106+H107+H111+H112+H116+H120+H121+H125</f>
        <v>88929841.209999993</v>
      </c>
      <c r="I77" s="325"/>
      <c r="J77" s="150">
        <f>J78+J84+J88+J93+J99+J100+J106+J107+J111+J112+J116+J120+J121+J125</f>
        <v>94666385.129999995</v>
      </c>
      <c r="K77" s="150">
        <f>K78+K84+K88+K93+K99+K100+K106+K107+K111+K112+K116+K120+K121+K125</f>
        <v>92945421.969999999</v>
      </c>
      <c r="L77" s="150">
        <f>L78+L84+L88+L93+L99+L100+L106+L107+L111+L112+L116+L120+L121+L125+L83+L92+L98+L105+L110</f>
        <v>8267651.6399999997</v>
      </c>
      <c r="N77" s="515"/>
    </row>
    <row r="78" spans="1:14" s="142" customFormat="1" x14ac:dyDescent="0.2">
      <c r="A78" s="132" t="s">
        <v>626</v>
      </c>
      <c r="B78" s="348" t="s">
        <v>1038</v>
      </c>
      <c r="C78" s="121" t="s">
        <v>197</v>
      </c>
      <c r="D78" s="329" t="s">
        <v>704</v>
      </c>
      <c r="E78" s="330">
        <v>1</v>
      </c>
      <c r="F78" s="328">
        <f>SUM(F79:F83)</f>
        <v>27606678.969999999</v>
      </c>
      <c r="G78" s="476">
        <f t="shared" si="2"/>
        <v>1.1025839</v>
      </c>
      <c r="H78" s="328">
        <f>F78*G78</f>
        <v>30438679.760000002</v>
      </c>
      <c r="I78" s="498">
        <f t="shared" ref="I78:I86" si="12">$F$348</f>
        <v>1.0645064</v>
      </c>
      <c r="J78" s="328">
        <f>H78*I78</f>
        <v>32402169.41</v>
      </c>
      <c r="K78" s="334">
        <f t="shared" si="9"/>
        <v>31813122.52</v>
      </c>
      <c r="L78" s="328"/>
      <c r="N78" s="515"/>
    </row>
    <row r="79" spans="1:14" hidden="1" outlineLevel="1" x14ac:dyDescent="0.2">
      <c r="A79" s="375" t="s">
        <v>910</v>
      </c>
      <c r="B79" s="384"/>
      <c r="C79" s="376" t="s">
        <v>409</v>
      </c>
      <c r="D79" s="358" t="s">
        <v>704</v>
      </c>
      <c r="E79" s="359">
        <v>1</v>
      </c>
      <c r="F79" s="360">
        <f>'Затраты подрядчика'!O94</f>
        <v>2510956.85</v>
      </c>
      <c r="G79" s="476">
        <f t="shared" si="2"/>
        <v>1.1025839</v>
      </c>
      <c r="H79" s="363">
        <f t="shared" si="10"/>
        <v>2768540.6</v>
      </c>
      <c r="I79" s="498">
        <f t="shared" si="12"/>
        <v>1.0645064</v>
      </c>
      <c r="J79" s="499">
        <f>H79*I79-0.01</f>
        <v>2947129.18</v>
      </c>
      <c r="K79" s="365">
        <f t="shared" si="9"/>
        <v>2893552.61</v>
      </c>
      <c r="L79" s="365"/>
      <c r="N79" s="515"/>
    </row>
    <row r="80" spans="1:14" hidden="1" outlineLevel="1" x14ac:dyDescent="0.2">
      <c r="A80" s="375" t="s">
        <v>911</v>
      </c>
      <c r="B80" s="384"/>
      <c r="C80" s="376" t="s">
        <v>411</v>
      </c>
      <c r="D80" s="358" t="s">
        <v>704</v>
      </c>
      <c r="E80" s="359">
        <v>1</v>
      </c>
      <c r="F80" s="360">
        <f>'Затраты подрядчика'!O95</f>
        <v>5616725.96</v>
      </c>
      <c r="G80" s="476">
        <f t="shared" si="2"/>
        <v>1.1025839</v>
      </c>
      <c r="H80" s="363">
        <f t="shared" si="10"/>
        <v>6192911.6100000003</v>
      </c>
      <c r="I80" s="498">
        <f t="shared" si="12"/>
        <v>1.0645064</v>
      </c>
      <c r="J80" s="364">
        <f t="shared" si="8"/>
        <v>6592394.04</v>
      </c>
      <c r="K80" s="365">
        <f t="shared" si="9"/>
        <v>6472549.3099999996</v>
      </c>
      <c r="L80" s="365"/>
      <c r="N80" s="515"/>
    </row>
    <row r="81" spans="1:14" hidden="1" outlineLevel="1" x14ac:dyDescent="0.2">
      <c r="A81" s="375" t="s">
        <v>912</v>
      </c>
      <c r="B81" s="384"/>
      <c r="C81" s="376" t="s">
        <v>412</v>
      </c>
      <c r="D81" s="358" t="s">
        <v>704</v>
      </c>
      <c r="E81" s="359">
        <v>1</v>
      </c>
      <c r="F81" s="360">
        <f>'Затраты подрядчика'!O96</f>
        <v>10701532.460000001</v>
      </c>
      <c r="G81" s="476">
        <f t="shared" si="2"/>
        <v>1.1025839</v>
      </c>
      <c r="H81" s="363">
        <f t="shared" si="10"/>
        <v>11799337.4</v>
      </c>
      <c r="I81" s="498">
        <f t="shared" si="12"/>
        <v>1.0645064</v>
      </c>
      <c r="J81" s="364">
        <f t="shared" si="8"/>
        <v>12560470.18</v>
      </c>
      <c r="K81" s="365">
        <f t="shared" si="9"/>
        <v>12332130.35</v>
      </c>
      <c r="L81" s="365"/>
      <c r="N81" s="515"/>
    </row>
    <row r="82" spans="1:14" hidden="1" outlineLevel="1" x14ac:dyDescent="0.2">
      <c r="A82" s="375" t="s">
        <v>913</v>
      </c>
      <c r="B82" s="384"/>
      <c r="C82" s="376" t="s">
        <v>347</v>
      </c>
      <c r="D82" s="358" t="s">
        <v>704</v>
      </c>
      <c r="E82" s="359">
        <v>1</v>
      </c>
      <c r="F82" s="360">
        <f>'Затраты подрядчика'!O97</f>
        <v>2978065.06</v>
      </c>
      <c r="G82" s="476">
        <f t="shared" ref="G82:G145" si="13">$G$303</f>
        <v>1.1025839</v>
      </c>
      <c r="H82" s="363">
        <f t="shared" si="10"/>
        <v>3283566.59</v>
      </c>
      <c r="I82" s="498">
        <f t="shared" si="12"/>
        <v>1.0645064</v>
      </c>
      <c r="J82" s="364">
        <f t="shared" si="8"/>
        <v>3495377.65</v>
      </c>
      <c r="K82" s="365">
        <f t="shared" si="9"/>
        <v>3431834.33</v>
      </c>
      <c r="L82" s="365"/>
      <c r="N82" s="515"/>
    </row>
    <row r="83" spans="1:14" s="143" customFormat="1" ht="31.5" hidden="1" outlineLevel="1" x14ac:dyDescent="0.2">
      <c r="A83" s="375" t="s">
        <v>914</v>
      </c>
      <c r="B83" s="384" t="s">
        <v>223</v>
      </c>
      <c r="C83" s="376" t="s">
        <v>224</v>
      </c>
      <c r="D83" s="358" t="s">
        <v>704</v>
      </c>
      <c r="E83" s="359">
        <v>1</v>
      </c>
      <c r="F83" s="360">
        <f>'Затраты подрядчика'!O98</f>
        <v>5799398.6399999997</v>
      </c>
      <c r="G83" s="476">
        <f t="shared" si="13"/>
        <v>1.1025839</v>
      </c>
      <c r="H83" s="363">
        <f>F83*G83</f>
        <v>6394323.5700000003</v>
      </c>
      <c r="I83" s="498">
        <f t="shared" si="12"/>
        <v>1.0645064</v>
      </c>
      <c r="J83" s="364">
        <f>H83*I83</f>
        <v>6806798.3600000003</v>
      </c>
      <c r="K83" s="365">
        <f>H83+(J83-H83)*(1-30/100)</f>
        <v>6683055.9199999999</v>
      </c>
      <c r="L83" s="365"/>
      <c r="N83" s="515"/>
    </row>
    <row r="84" spans="1:14" s="142" customFormat="1" ht="31.5" collapsed="1" x14ac:dyDescent="0.2">
      <c r="A84" s="132" t="s">
        <v>660</v>
      </c>
      <c r="B84" s="348" t="s">
        <v>1039</v>
      </c>
      <c r="C84" s="121" t="s">
        <v>199</v>
      </c>
      <c r="D84" s="329" t="s">
        <v>704</v>
      </c>
      <c r="E84" s="330">
        <v>1</v>
      </c>
      <c r="F84" s="328">
        <f>SUM(F85:F87)</f>
        <v>15405562.35</v>
      </c>
      <c r="G84" s="476">
        <f t="shared" si="13"/>
        <v>1.1025839</v>
      </c>
      <c r="H84" s="331">
        <f t="shared" si="10"/>
        <v>16985925.02</v>
      </c>
      <c r="I84" s="498">
        <f t="shared" si="12"/>
        <v>1.0645064</v>
      </c>
      <c r="J84" s="333">
        <f t="shared" si="8"/>
        <v>18081625.890000001</v>
      </c>
      <c r="K84" s="334">
        <f t="shared" si="9"/>
        <v>17752915.629999999</v>
      </c>
      <c r="L84" s="334"/>
      <c r="N84" s="515"/>
    </row>
    <row r="85" spans="1:14" hidden="1" outlineLevel="1" x14ac:dyDescent="0.2">
      <c r="A85" s="375" t="s">
        <v>1116</v>
      </c>
      <c r="B85" s="384"/>
      <c r="C85" s="376" t="s">
        <v>351</v>
      </c>
      <c r="D85" s="358" t="s">
        <v>704</v>
      </c>
      <c r="E85" s="359">
        <v>1</v>
      </c>
      <c r="F85" s="360">
        <f>'Затраты подрядчика'!O100</f>
        <v>7723300.5700000003</v>
      </c>
      <c r="G85" s="476">
        <f t="shared" si="13"/>
        <v>1.1025839</v>
      </c>
      <c r="H85" s="363">
        <f t="shared" si="10"/>
        <v>8515586.8599999994</v>
      </c>
      <c r="I85" s="498">
        <f t="shared" si="12"/>
        <v>1.0645064</v>
      </c>
      <c r="J85" s="499">
        <f>H85*I85-0.01</f>
        <v>9064896.6999999993</v>
      </c>
      <c r="K85" s="365">
        <f t="shared" si="9"/>
        <v>8900103.75</v>
      </c>
      <c r="L85" s="365"/>
      <c r="N85" s="515"/>
    </row>
    <row r="86" spans="1:14" hidden="1" outlineLevel="1" x14ac:dyDescent="0.2">
      <c r="A86" s="375" t="s">
        <v>1117</v>
      </c>
      <c r="B86" s="384"/>
      <c r="C86" s="376" t="s">
        <v>417</v>
      </c>
      <c r="D86" s="358" t="s">
        <v>704</v>
      </c>
      <c r="E86" s="359">
        <v>1</v>
      </c>
      <c r="F86" s="360">
        <f>'Затраты подрядчика'!O101</f>
        <v>7682261.7800000003</v>
      </c>
      <c r="G86" s="476">
        <f t="shared" si="13"/>
        <v>1.1025839</v>
      </c>
      <c r="H86" s="363">
        <f t="shared" si="10"/>
        <v>8470338.1500000004</v>
      </c>
      <c r="I86" s="498">
        <f t="shared" si="12"/>
        <v>1.0645064</v>
      </c>
      <c r="J86" s="364">
        <f t="shared" si="8"/>
        <v>9016729.1699999999</v>
      </c>
      <c r="K86" s="365">
        <f t="shared" si="9"/>
        <v>8852811.8599999994</v>
      </c>
      <c r="L86" s="365"/>
      <c r="N86" s="515"/>
    </row>
    <row r="87" spans="1:14" s="137" customFormat="1" hidden="1" outlineLevel="1" x14ac:dyDescent="0.2">
      <c r="A87" s="375"/>
      <c r="B87" s="384"/>
      <c r="C87" s="376"/>
      <c r="D87" s="358"/>
      <c r="E87" s="359"/>
      <c r="F87" s="360"/>
      <c r="G87" s="476"/>
      <c r="H87" s="363"/>
      <c r="I87" s="361"/>
      <c r="J87" s="364"/>
      <c r="K87" s="365"/>
      <c r="L87" s="365"/>
      <c r="N87" s="515"/>
    </row>
    <row r="88" spans="1:14" s="142" customFormat="1" ht="20.25" customHeight="1" collapsed="1" x14ac:dyDescent="0.2">
      <c r="A88" s="132" t="s">
        <v>661</v>
      </c>
      <c r="B88" s="348" t="s">
        <v>1040</v>
      </c>
      <c r="C88" s="121" t="s">
        <v>201</v>
      </c>
      <c r="D88" s="329" t="s">
        <v>704</v>
      </c>
      <c r="E88" s="330">
        <v>1</v>
      </c>
      <c r="F88" s="328">
        <f>SUM(F89:F92)</f>
        <v>4128319.03</v>
      </c>
      <c r="G88" s="476">
        <f t="shared" si="13"/>
        <v>1.1025839</v>
      </c>
      <c r="H88" s="328">
        <f>F88*G88</f>
        <v>4551818.0999999996</v>
      </c>
      <c r="I88" s="498">
        <f t="shared" ref="I88:I125" si="14">$F$348</f>
        <v>1.0645064</v>
      </c>
      <c r="J88" s="328">
        <f>H88*I88</f>
        <v>4845439.5</v>
      </c>
      <c r="K88" s="334">
        <f t="shared" si="9"/>
        <v>4757353.08</v>
      </c>
      <c r="L88" s="328"/>
      <c r="N88" s="515"/>
    </row>
    <row r="89" spans="1:14" ht="20.25" hidden="1" customHeight="1" outlineLevel="1" x14ac:dyDescent="0.2">
      <c r="A89" s="375" t="s">
        <v>915</v>
      </c>
      <c r="B89" s="384"/>
      <c r="C89" s="376" t="s">
        <v>356</v>
      </c>
      <c r="D89" s="358" t="s">
        <v>704</v>
      </c>
      <c r="E89" s="359">
        <v>1</v>
      </c>
      <c r="F89" s="360">
        <f>'Затраты подрядчика'!O104</f>
        <v>686649.07</v>
      </c>
      <c r="G89" s="476">
        <f t="shared" si="13"/>
        <v>1.1025839</v>
      </c>
      <c r="H89" s="363">
        <f t="shared" si="10"/>
        <v>757088.21</v>
      </c>
      <c r="I89" s="498">
        <f t="shared" si="14"/>
        <v>1.0645064</v>
      </c>
      <c r="J89" s="364">
        <f t="shared" si="8"/>
        <v>805925.24</v>
      </c>
      <c r="K89" s="365">
        <f t="shared" si="9"/>
        <v>791274.13</v>
      </c>
      <c r="L89" s="365"/>
      <c r="N89" s="515"/>
    </row>
    <row r="90" spans="1:14" ht="20.25" hidden="1" customHeight="1" outlineLevel="1" x14ac:dyDescent="0.2">
      <c r="A90" s="375" t="s">
        <v>916</v>
      </c>
      <c r="B90" s="384"/>
      <c r="C90" s="376" t="s">
        <v>421</v>
      </c>
      <c r="D90" s="358" t="s">
        <v>704</v>
      </c>
      <c r="E90" s="359">
        <v>1</v>
      </c>
      <c r="F90" s="360">
        <f>'Затраты подрядчика'!O105</f>
        <v>476950.84</v>
      </c>
      <c r="G90" s="476">
        <f t="shared" si="13"/>
        <v>1.1025839</v>
      </c>
      <c r="H90" s="363">
        <f t="shared" si="10"/>
        <v>525878.31999999995</v>
      </c>
      <c r="I90" s="498">
        <f t="shared" si="14"/>
        <v>1.0645064</v>
      </c>
      <c r="J90" s="364">
        <f t="shared" si="8"/>
        <v>559800.84</v>
      </c>
      <c r="K90" s="365">
        <f t="shared" si="9"/>
        <v>549624.07999999996</v>
      </c>
      <c r="L90" s="365"/>
      <c r="N90" s="515"/>
    </row>
    <row r="91" spans="1:14" ht="20.25" hidden="1" customHeight="1" outlineLevel="1" x14ac:dyDescent="0.2">
      <c r="A91" s="375" t="s">
        <v>917</v>
      </c>
      <c r="B91" s="384"/>
      <c r="C91" s="376" t="s">
        <v>361</v>
      </c>
      <c r="D91" s="358" t="s">
        <v>704</v>
      </c>
      <c r="E91" s="359">
        <v>1</v>
      </c>
      <c r="F91" s="360">
        <f>'Затраты подрядчика'!O106</f>
        <v>2961048.98</v>
      </c>
      <c r="G91" s="476">
        <f t="shared" si="13"/>
        <v>1.1025839</v>
      </c>
      <c r="H91" s="363">
        <f t="shared" si="10"/>
        <v>3264804.93</v>
      </c>
      <c r="I91" s="498">
        <f t="shared" si="14"/>
        <v>1.0645064</v>
      </c>
      <c r="J91" s="364">
        <f t="shared" si="8"/>
        <v>3475405.74</v>
      </c>
      <c r="K91" s="365">
        <f t="shared" si="9"/>
        <v>3412225.5</v>
      </c>
      <c r="L91" s="365"/>
      <c r="N91" s="515"/>
    </row>
    <row r="92" spans="1:14" s="143" customFormat="1" ht="31.5" hidden="1" outlineLevel="1" x14ac:dyDescent="0.2">
      <c r="A92" s="375" t="s">
        <v>918</v>
      </c>
      <c r="B92" s="384" t="s">
        <v>225</v>
      </c>
      <c r="C92" s="376" t="s">
        <v>226</v>
      </c>
      <c r="D92" s="358" t="s">
        <v>704</v>
      </c>
      <c r="E92" s="359">
        <v>1</v>
      </c>
      <c r="F92" s="360">
        <f>'Затраты подрядчика'!O107</f>
        <v>3670.14</v>
      </c>
      <c r="G92" s="476">
        <f t="shared" si="13"/>
        <v>1.1025839</v>
      </c>
      <c r="H92" s="363">
        <f>F92*G92</f>
        <v>4046.64</v>
      </c>
      <c r="I92" s="498">
        <f t="shared" si="14"/>
        <v>1.0645064</v>
      </c>
      <c r="J92" s="364">
        <f>H92*I92</f>
        <v>4307.67</v>
      </c>
      <c r="K92" s="365">
        <f>H92+(J92-H92)*(1-30/100)</f>
        <v>4229.3599999999997</v>
      </c>
      <c r="L92" s="365"/>
      <c r="N92" s="515"/>
    </row>
    <row r="93" spans="1:14" s="142" customFormat="1" ht="31.5" collapsed="1" x14ac:dyDescent="0.2">
      <c r="A93" s="132" t="s">
        <v>662</v>
      </c>
      <c r="B93" s="348" t="s">
        <v>1041</v>
      </c>
      <c r="C93" s="121" t="s">
        <v>203</v>
      </c>
      <c r="D93" s="329" t="s">
        <v>704</v>
      </c>
      <c r="E93" s="330">
        <v>1</v>
      </c>
      <c r="F93" s="328">
        <f>SUM(F94:F98)</f>
        <v>3481674.23</v>
      </c>
      <c r="G93" s="476">
        <f t="shared" si="13"/>
        <v>1.1025839</v>
      </c>
      <c r="H93" s="328">
        <f>F93*G93</f>
        <v>3838837.95</v>
      </c>
      <c r="I93" s="498">
        <f t="shared" si="14"/>
        <v>1.0645064</v>
      </c>
      <c r="J93" s="328">
        <f>H93*I93</f>
        <v>4086467.57</v>
      </c>
      <c r="K93" s="334">
        <f t="shared" si="9"/>
        <v>4012178.68</v>
      </c>
      <c r="L93" s="328">
        <f>'Затраты подрядчика'!M108*K93/F93</f>
        <v>3013569.98</v>
      </c>
      <c r="N93" s="515"/>
    </row>
    <row r="94" spans="1:14" s="143" customFormat="1" hidden="1" outlineLevel="1" x14ac:dyDescent="0.2">
      <c r="A94" s="375" t="s">
        <v>919</v>
      </c>
      <c r="B94" s="384"/>
      <c r="C94" s="376" t="s">
        <v>362</v>
      </c>
      <c r="D94" s="358" t="s">
        <v>704</v>
      </c>
      <c r="E94" s="359">
        <v>1</v>
      </c>
      <c r="F94" s="360">
        <f>'Затраты подрядчика'!O109</f>
        <v>485959.36</v>
      </c>
      <c r="G94" s="476">
        <f t="shared" si="13"/>
        <v>1.1025839</v>
      </c>
      <c r="H94" s="363">
        <f t="shared" ref="H94:H125" si="15">F94*G94</f>
        <v>535810.97</v>
      </c>
      <c r="I94" s="498">
        <f t="shared" si="14"/>
        <v>1.0645064</v>
      </c>
      <c r="J94" s="499">
        <f>H94*I94+0.01</f>
        <v>570374.22</v>
      </c>
      <c r="K94" s="365">
        <f t="shared" ref="K94:K128" si="16">H94+(J94-H94)*(1-30/100)</f>
        <v>560005.25</v>
      </c>
      <c r="L94" s="365"/>
      <c r="N94" s="515"/>
    </row>
    <row r="95" spans="1:14" s="143" customFormat="1" hidden="1" outlineLevel="1" x14ac:dyDescent="0.2">
      <c r="A95" s="375" t="s">
        <v>920</v>
      </c>
      <c r="B95" s="384"/>
      <c r="C95" s="376" t="s">
        <v>364</v>
      </c>
      <c r="D95" s="358" t="s">
        <v>704</v>
      </c>
      <c r="E95" s="359">
        <v>1</v>
      </c>
      <c r="F95" s="360">
        <f>'Затраты подрядчика'!O110</f>
        <v>2672052.12</v>
      </c>
      <c r="G95" s="476">
        <f t="shared" si="13"/>
        <v>1.1025839</v>
      </c>
      <c r="H95" s="363">
        <f t="shared" si="15"/>
        <v>2946161.65</v>
      </c>
      <c r="I95" s="498">
        <f t="shared" si="14"/>
        <v>1.0645064</v>
      </c>
      <c r="J95" s="364">
        <f t="shared" ref="J95:J125" si="17">H95*I95</f>
        <v>3136207.93</v>
      </c>
      <c r="K95" s="365">
        <f t="shared" si="16"/>
        <v>3079194.05</v>
      </c>
      <c r="L95" s="365">
        <f>'Затраты подрядчика'!M110*K95/F95</f>
        <v>2885700.99</v>
      </c>
      <c r="N95" s="515"/>
    </row>
    <row r="96" spans="1:14" s="143" customFormat="1" hidden="1" outlineLevel="1" x14ac:dyDescent="0.2">
      <c r="A96" s="375" t="s">
        <v>921</v>
      </c>
      <c r="B96" s="384"/>
      <c r="C96" s="376" t="s">
        <v>365</v>
      </c>
      <c r="D96" s="358" t="s">
        <v>704</v>
      </c>
      <c r="E96" s="359">
        <v>1</v>
      </c>
      <c r="F96" s="360">
        <f>'Затраты подрядчика'!O111</f>
        <v>79363.03</v>
      </c>
      <c r="G96" s="476">
        <f t="shared" si="13"/>
        <v>1.1025839</v>
      </c>
      <c r="H96" s="363">
        <f t="shared" si="15"/>
        <v>87504.4</v>
      </c>
      <c r="I96" s="498">
        <f t="shared" si="14"/>
        <v>1.0645064</v>
      </c>
      <c r="J96" s="364">
        <f t="shared" si="17"/>
        <v>93148.99</v>
      </c>
      <c r="K96" s="365">
        <f t="shared" si="16"/>
        <v>91455.61</v>
      </c>
      <c r="L96" s="365">
        <f>'Затраты подрядчика'!M111*K96/F96</f>
        <v>61177.27</v>
      </c>
      <c r="N96" s="515"/>
    </row>
    <row r="97" spans="1:14" s="143" customFormat="1" hidden="1" outlineLevel="1" x14ac:dyDescent="0.2">
      <c r="A97" s="375" t="s">
        <v>922</v>
      </c>
      <c r="B97" s="384"/>
      <c r="C97" s="376" t="s">
        <v>368</v>
      </c>
      <c r="D97" s="358" t="s">
        <v>704</v>
      </c>
      <c r="E97" s="359">
        <v>1</v>
      </c>
      <c r="F97" s="360">
        <f>'Затраты подрядчика'!O112</f>
        <v>61793.87</v>
      </c>
      <c r="G97" s="476">
        <f t="shared" si="13"/>
        <v>1.1025839</v>
      </c>
      <c r="H97" s="363">
        <f t="shared" si="15"/>
        <v>68132.929999999993</v>
      </c>
      <c r="I97" s="498">
        <f t="shared" si="14"/>
        <v>1.0645064</v>
      </c>
      <c r="J97" s="364">
        <f t="shared" si="17"/>
        <v>72527.94</v>
      </c>
      <c r="K97" s="365">
        <f t="shared" si="16"/>
        <v>71209.440000000002</v>
      </c>
      <c r="L97" s="365">
        <f>'Затраты подрядчика'!M112*K97/F97</f>
        <v>66691.72</v>
      </c>
      <c r="N97" s="515"/>
    </row>
    <row r="98" spans="1:14" s="143" customFormat="1" ht="31.5" hidden="1" outlineLevel="1" x14ac:dyDescent="0.2">
      <c r="A98" s="375" t="s">
        <v>923</v>
      </c>
      <c r="B98" s="384" t="s">
        <v>227</v>
      </c>
      <c r="C98" s="376" t="s">
        <v>228</v>
      </c>
      <c r="D98" s="358" t="s">
        <v>704</v>
      </c>
      <c r="E98" s="359">
        <v>1</v>
      </c>
      <c r="F98" s="360">
        <f>'Затраты подрядчика'!O113</f>
        <v>182505.85</v>
      </c>
      <c r="G98" s="476">
        <f t="shared" si="13"/>
        <v>1.1025839</v>
      </c>
      <c r="H98" s="363">
        <f>F98*G98</f>
        <v>201228.01</v>
      </c>
      <c r="I98" s="498">
        <f t="shared" si="14"/>
        <v>1.0645064</v>
      </c>
      <c r="J98" s="364">
        <f>H98*I98</f>
        <v>214208.5</v>
      </c>
      <c r="K98" s="365">
        <f>H98+(J98-H98)*(1-30/100)</f>
        <v>210314.35</v>
      </c>
      <c r="L98" s="365"/>
      <c r="N98" s="515"/>
    </row>
    <row r="99" spans="1:14" s="142" customFormat="1" ht="31.5" collapsed="1" x14ac:dyDescent="0.2">
      <c r="A99" s="132" t="s">
        <v>663</v>
      </c>
      <c r="B99" s="348" t="s">
        <v>1042</v>
      </c>
      <c r="C99" s="121" t="s">
        <v>205</v>
      </c>
      <c r="D99" s="329" t="s">
        <v>704</v>
      </c>
      <c r="E99" s="330">
        <v>1</v>
      </c>
      <c r="F99" s="328">
        <f>'Затраты подрядчика'!O114</f>
        <v>116056.65</v>
      </c>
      <c r="G99" s="476">
        <f t="shared" si="13"/>
        <v>1.1025839</v>
      </c>
      <c r="H99" s="331">
        <f t="shared" si="15"/>
        <v>127962.19</v>
      </c>
      <c r="I99" s="498">
        <f t="shared" si="14"/>
        <v>1.0645064</v>
      </c>
      <c r="J99" s="333">
        <f t="shared" si="17"/>
        <v>136216.57</v>
      </c>
      <c r="K99" s="334">
        <f t="shared" si="16"/>
        <v>133740.26</v>
      </c>
      <c r="L99" s="334">
        <f>'Затраты подрядчика'!M114*K99/F99</f>
        <v>29928.79</v>
      </c>
      <c r="N99" s="515"/>
    </row>
    <row r="100" spans="1:14" s="142" customFormat="1" ht="31.5" x14ac:dyDescent="0.2">
      <c r="A100" s="132" t="s">
        <v>664</v>
      </c>
      <c r="B100" s="348" t="s">
        <v>1043</v>
      </c>
      <c r="C100" s="121" t="s">
        <v>207</v>
      </c>
      <c r="D100" s="329" t="s">
        <v>704</v>
      </c>
      <c r="E100" s="330">
        <v>1</v>
      </c>
      <c r="F100" s="328">
        <f>SUM(F101:F105)</f>
        <v>5585993.25</v>
      </c>
      <c r="G100" s="476">
        <f t="shared" si="13"/>
        <v>1.1025839</v>
      </c>
      <c r="H100" s="328">
        <f>F100*G100</f>
        <v>6159026.2199999997</v>
      </c>
      <c r="I100" s="498">
        <f t="shared" si="14"/>
        <v>1.0645064</v>
      </c>
      <c r="J100" s="328">
        <f>H100*I100</f>
        <v>6556322.8300000001</v>
      </c>
      <c r="K100" s="334">
        <f t="shared" si="16"/>
        <v>6437133.8499999996</v>
      </c>
      <c r="L100" s="328">
        <f>'Затраты подрядчика'!M115*K100/F100</f>
        <v>4762212.59</v>
      </c>
      <c r="N100" s="515"/>
    </row>
    <row r="101" spans="1:14" hidden="1" outlineLevel="1" x14ac:dyDescent="0.2">
      <c r="A101" s="375" t="s">
        <v>924</v>
      </c>
      <c r="B101" s="384"/>
      <c r="C101" s="376" t="s">
        <v>362</v>
      </c>
      <c r="D101" s="358" t="s">
        <v>704</v>
      </c>
      <c r="E101" s="359">
        <v>1</v>
      </c>
      <c r="F101" s="360">
        <f>'Затраты подрядчика'!O116</f>
        <v>771646.08</v>
      </c>
      <c r="G101" s="476">
        <f t="shared" si="13"/>
        <v>1.1025839</v>
      </c>
      <c r="H101" s="363">
        <f t="shared" si="15"/>
        <v>850804.54</v>
      </c>
      <c r="I101" s="498">
        <f t="shared" si="14"/>
        <v>1.0645064</v>
      </c>
      <c r="J101" s="499">
        <f>H101*I101+0.01</f>
        <v>905686.89</v>
      </c>
      <c r="K101" s="502">
        <f>H101+(J101-H101)*(1-30/100)-0.01</f>
        <v>889222.18</v>
      </c>
      <c r="L101" s="365"/>
      <c r="N101" s="515"/>
    </row>
    <row r="102" spans="1:14" hidden="1" outlineLevel="1" x14ac:dyDescent="0.2">
      <c r="A102" s="375" t="s">
        <v>925</v>
      </c>
      <c r="B102" s="384"/>
      <c r="C102" s="376" t="s">
        <v>364</v>
      </c>
      <c r="D102" s="358" t="s">
        <v>704</v>
      </c>
      <c r="E102" s="359">
        <v>1</v>
      </c>
      <c r="F102" s="360">
        <f>'Затраты подрядчика'!O117</f>
        <v>4258687.13</v>
      </c>
      <c r="G102" s="476">
        <f t="shared" si="13"/>
        <v>1.1025839</v>
      </c>
      <c r="H102" s="363">
        <f t="shared" si="15"/>
        <v>4695559.8600000003</v>
      </c>
      <c r="I102" s="498">
        <f t="shared" si="14"/>
        <v>1.0645064</v>
      </c>
      <c r="J102" s="364">
        <f t="shared" si="17"/>
        <v>4998453.5199999996</v>
      </c>
      <c r="K102" s="365">
        <f t="shared" si="16"/>
        <v>4907585.42</v>
      </c>
      <c r="L102" s="365">
        <f>'Затраты подрядчика'!M117*K102/F102</f>
        <v>4633542.3499999996</v>
      </c>
      <c r="N102" s="515"/>
    </row>
    <row r="103" spans="1:14" hidden="1" outlineLevel="1" x14ac:dyDescent="0.2">
      <c r="A103" s="375" t="s">
        <v>926</v>
      </c>
      <c r="B103" s="384"/>
      <c r="C103" s="376" t="s">
        <v>365</v>
      </c>
      <c r="D103" s="358" t="s">
        <v>704</v>
      </c>
      <c r="E103" s="359">
        <v>1</v>
      </c>
      <c r="F103" s="360">
        <f>'Затраты подрядчика'!O118</f>
        <v>196791.86</v>
      </c>
      <c r="G103" s="476">
        <f t="shared" si="13"/>
        <v>1.1025839</v>
      </c>
      <c r="H103" s="363">
        <f t="shared" si="15"/>
        <v>216979.54</v>
      </c>
      <c r="I103" s="498">
        <f t="shared" si="14"/>
        <v>1.0645064</v>
      </c>
      <c r="J103" s="364">
        <f t="shared" si="17"/>
        <v>230976.11</v>
      </c>
      <c r="K103" s="365">
        <f t="shared" si="16"/>
        <v>226777.14</v>
      </c>
      <c r="L103" s="365">
        <f>'Затраты подрядчика'!M118*K103/F103</f>
        <v>64523.65</v>
      </c>
      <c r="N103" s="515"/>
    </row>
    <row r="104" spans="1:14" hidden="1" outlineLevel="1" x14ac:dyDescent="0.2">
      <c r="A104" s="375" t="s">
        <v>927</v>
      </c>
      <c r="B104" s="384"/>
      <c r="C104" s="376" t="s">
        <v>368</v>
      </c>
      <c r="D104" s="358" t="s">
        <v>704</v>
      </c>
      <c r="E104" s="359">
        <v>1</v>
      </c>
      <c r="F104" s="360">
        <f>'Затраты подрядчика'!O119</f>
        <v>59835.51</v>
      </c>
      <c r="G104" s="476">
        <f t="shared" si="13"/>
        <v>1.1025839</v>
      </c>
      <c r="H104" s="363">
        <f t="shared" si="15"/>
        <v>65973.67</v>
      </c>
      <c r="I104" s="498">
        <f t="shared" si="14"/>
        <v>1.0645064</v>
      </c>
      <c r="J104" s="364">
        <f t="shared" si="17"/>
        <v>70229.39</v>
      </c>
      <c r="K104" s="365">
        <f t="shared" si="16"/>
        <v>68952.67</v>
      </c>
      <c r="L104" s="365">
        <f>'Затраты подрядчика'!M119*K104/F104</f>
        <v>64146.58</v>
      </c>
      <c r="N104" s="515"/>
    </row>
    <row r="105" spans="1:14" s="143" customFormat="1" ht="31.5" hidden="1" outlineLevel="1" x14ac:dyDescent="0.2">
      <c r="A105" s="375" t="s">
        <v>928</v>
      </c>
      <c r="B105" s="384" t="s">
        <v>229</v>
      </c>
      <c r="C105" s="376" t="s">
        <v>230</v>
      </c>
      <c r="D105" s="358" t="s">
        <v>704</v>
      </c>
      <c r="E105" s="359">
        <v>1</v>
      </c>
      <c r="F105" s="360">
        <f>'Затраты подрядчика'!O120</f>
        <v>299032.67</v>
      </c>
      <c r="G105" s="476">
        <f t="shared" si="13"/>
        <v>1.1025839</v>
      </c>
      <c r="H105" s="363">
        <f>F105*G105</f>
        <v>329708.61</v>
      </c>
      <c r="I105" s="498">
        <f t="shared" si="14"/>
        <v>1.0645064</v>
      </c>
      <c r="J105" s="364">
        <f>H105*I105</f>
        <v>350976.93</v>
      </c>
      <c r="K105" s="365">
        <f>H105+(J105-H105)*(1-30/100)</f>
        <v>344596.43</v>
      </c>
      <c r="L105" s="365"/>
      <c r="N105" s="515"/>
    </row>
    <row r="106" spans="1:14" s="142" customFormat="1" ht="31.5" collapsed="1" x14ac:dyDescent="0.2">
      <c r="A106" s="132" t="s">
        <v>665</v>
      </c>
      <c r="B106" s="348" t="s">
        <v>1044</v>
      </c>
      <c r="C106" s="121" t="s">
        <v>209</v>
      </c>
      <c r="D106" s="329" t="s">
        <v>704</v>
      </c>
      <c r="E106" s="330">
        <v>1</v>
      </c>
      <c r="F106" s="328">
        <f>'Затраты подрядчика'!O121</f>
        <v>475349.25</v>
      </c>
      <c r="G106" s="476">
        <f t="shared" si="13"/>
        <v>1.1025839</v>
      </c>
      <c r="H106" s="331">
        <f t="shared" si="15"/>
        <v>524112.43</v>
      </c>
      <c r="I106" s="498">
        <f t="shared" si="14"/>
        <v>1.0645064</v>
      </c>
      <c r="J106" s="333">
        <f t="shared" si="17"/>
        <v>557921.04</v>
      </c>
      <c r="K106" s="334">
        <f t="shared" si="16"/>
        <v>547778.46</v>
      </c>
      <c r="L106" s="334">
        <f>'Затраты подрядчика'!M121*K106/F106</f>
        <v>64382.25</v>
      </c>
      <c r="N106" s="515"/>
    </row>
    <row r="107" spans="1:14" s="142" customFormat="1" ht="21.75" customHeight="1" x14ac:dyDescent="0.2">
      <c r="A107" s="132" t="s">
        <v>666</v>
      </c>
      <c r="B107" s="348" t="s">
        <v>1045</v>
      </c>
      <c r="C107" s="121" t="s">
        <v>211</v>
      </c>
      <c r="D107" s="329" t="s">
        <v>704</v>
      </c>
      <c r="E107" s="330">
        <v>1</v>
      </c>
      <c r="F107" s="328">
        <f>SUM(F108:F110)</f>
        <v>20369754.829999998</v>
      </c>
      <c r="G107" s="476">
        <f t="shared" si="13"/>
        <v>1.1025839</v>
      </c>
      <c r="H107" s="328">
        <f>F107*G107</f>
        <v>22459363.719999999</v>
      </c>
      <c r="I107" s="498">
        <f t="shared" si="14"/>
        <v>1.0645064</v>
      </c>
      <c r="J107" s="328">
        <f>H107*I107</f>
        <v>23908136.420000002</v>
      </c>
      <c r="K107" s="334">
        <f t="shared" si="16"/>
        <v>23473504.609999999</v>
      </c>
      <c r="L107" s="328"/>
      <c r="N107" s="515"/>
    </row>
    <row r="108" spans="1:14" ht="15" hidden="1" customHeight="1" outlineLevel="1" x14ac:dyDescent="0.2">
      <c r="A108" s="375" t="s">
        <v>929</v>
      </c>
      <c r="B108" s="384"/>
      <c r="C108" s="376" t="s">
        <v>433</v>
      </c>
      <c r="D108" s="358" t="s">
        <v>704</v>
      </c>
      <c r="E108" s="359">
        <v>1</v>
      </c>
      <c r="F108" s="360">
        <f>'Затраты подрядчика'!O123</f>
        <v>6219879.4400000004</v>
      </c>
      <c r="G108" s="476">
        <f t="shared" si="13"/>
        <v>1.1025839</v>
      </c>
      <c r="H108" s="481">
        <f>F108*G108+0.01</f>
        <v>6857938.9400000004</v>
      </c>
      <c r="I108" s="498">
        <f t="shared" si="14"/>
        <v>1.0645064</v>
      </c>
      <c r="J108" s="364">
        <f t="shared" si="17"/>
        <v>7300319.8899999997</v>
      </c>
      <c r="K108" s="365">
        <f t="shared" si="16"/>
        <v>7167605.6100000003</v>
      </c>
      <c r="L108" s="365"/>
      <c r="N108" s="515"/>
    </row>
    <row r="109" spans="1:14" ht="15" hidden="1" customHeight="1" outlineLevel="1" x14ac:dyDescent="0.2">
      <c r="A109" s="375" t="s">
        <v>930</v>
      </c>
      <c r="B109" s="384"/>
      <c r="C109" s="376" t="s">
        <v>364</v>
      </c>
      <c r="D109" s="358" t="s">
        <v>704</v>
      </c>
      <c r="E109" s="359">
        <v>1</v>
      </c>
      <c r="F109" s="360">
        <f>'Затраты подрядчика'!O124</f>
        <v>9401553.6300000008</v>
      </c>
      <c r="G109" s="476">
        <f t="shared" si="13"/>
        <v>1.1025839</v>
      </c>
      <c r="H109" s="363">
        <f t="shared" si="15"/>
        <v>10366001.67</v>
      </c>
      <c r="I109" s="498">
        <f t="shared" si="14"/>
        <v>1.0645064</v>
      </c>
      <c r="J109" s="364">
        <f t="shared" si="17"/>
        <v>11034675.119999999</v>
      </c>
      <c r="K109" s="365">
        <f t="shared" si="16"/>
        <v>10834073.09</v>
      </c>
      <c r="L109" s="365"/>
      <c r="N109" s="515"/>
    </row>
    <row r="110" spans="1:14" s="143" customFormat="1" ht="31.5" hidden="1" outlineLevel="1" x14ac:dyDescent="0.2">
      <c r="A110" s="375" t="s">
        <v>931</v>
      </c>
      <c r="B110" s="384" t="s">
        <v>231</v>
      </c>
      <c r="C110" s="376" t="s">
        <v>232</v>
      </c>
      <c r="D110" s="358" t="s">
        <v>704</v>
      </c>
      <c r="E110" s="359">
        <v>1</v>
      </c>
      <c r="F110" s="360">
        <f>'Затраты подрядчика'!O125</f>
        <v>4748321.76</v>
      </c>
      <c r="G110" s="476">
        <f t="shared" si="13"/>
        <v>1.1025839</v>
      </c>
      <c r="H110" s="363">
        <f>F110*G110</f>
        <v>5235423.12</v>
      </c>
      <c r="I110" s="498">
        <f t="shared" si="14"/>
        <v>1.0645064</v>
      </c>
      <c r="J110" s="364">
        <f>H110*I110</f>
        <v>5573141.4199999999</v>
      </c>
      <c r="K110" s="365">
        <f>H110+(J110-H110)*(1-30/100)</f>
        <v>5471825.9299999997</v>
      </c>
      <c r="L110" s="365"/>
      <c r="N110" s="515"/>
    </row>
    <row r="111" spans="1:14" s="142" customFormat="1" ht="31.5" collapsed="1" x14ac:dyDescent="0.2">
      <c r="A111" s="132" t="s">
        <v>667</v>
      </c>
      <c r="B111" s="348" t="s">
        <v>1046</v>
      </c>
      <c r="C111" s="121" t="s">
        <v>213</v>
      </c>
      <c r="D111" s="329" t="s">
        <v>704</v>
      </c>
      <c r="E111" s="330">
        <v>1</v>
      </c>
      <c r="F111" s="328">
        <f>'Затраты подрядчика'!O126</f>
        <v>753188.33</v>
      </c>
      <c r="G111" s="476">
        <f t="shared" si="13"/>
        <v>1.1025839</v>
      </c>
      <c r="H111" s="331">
        <f t="shared" si="15"/>
        <v>830453.33</v>
      </c>
      <c r="I111" s="498">
        <f t="shared" si="14"/>
        <v>1.0645064</v>
      </c>
      <c r="J111" s="333">
        <f t="shared" si="17"/>
        <v>884022.88</v>
      </c>
      <c r="K111" s="334">
        <f t="shared" si="16"/>
        <v>867952.02</v>
      </c>
      <c r="L111" s="334">
        <f>'Затраты подрядчика'!M126*K111/F111</f>
        <v>23330.32</v>
      </c>
      <c r="N111" s="515"/>
    </row>
    <row r="112" spans="1:14" s="142" customFormat="1" ht="21" customHeight="1" x14ac:dyDescent="0.2">
      <c r="A112" s="132" t="s">
        <v>668</v>
      </c>
      <c r="B112" s="348" t="s">
        <v>1047</v>
      </c>
      <c r="C112" s="121" t="s">
        <v>215</v>
      </c>
      <c r="D112" s="329" t="s">
        <v>704</v>
      </c>
      <c r="E112" s="330">
        <v>1</v>
      </c>
      <c r="F112" s="328">
        <f>SUM(F113:F115)</f>
        <v>153712.24</v>
      </c>
      <c r="G112" s="476">
        <f t="shared" si="13"/>
        <v>1.1025839</v>
      </c>
      <c r="H112" s="331">
        <f t="shared" si="15"/>
        <v>169480.64</v>
      </c>
      <c r="I112" s="498">
        <f t="shared" si="14"/>
        <v>1.0645064</v>
      </c>
      <c r="J112" s="333">
        <f t="shared" si="17"/>
        <v>180413.23</v>
      </c>
      <c r="K112" s="334">
        <f t="shared" si="16"/>
        <v>177133.45</v>
      </c>
      <c r="L112" s="334">
        <f>'Затраты подрядчика'!M127*K112/F112</f>
        <v>78993.149999999994</v>
      </c>
      <c r="N112" s="515"/>
    </row>
    <row r="113" spans="1:14" ht="31.5" hidden="1" outlineLevel="1" x14ac:dyDescent="0.2">
      <c r="A113" s="375" t="s">
        <v>1185</v>
      </c>
      <c r="B113" s="384"/>
      <c r="C113" s="376" t="s">
        <v>381</v>
      </c>
      <c r="D113" s="358" t="s">
        <v>704</v>
      </c>
      <c r="E113" s="359">
        <v>1</v>
      </c>
      <c r="F113" s="360">
        <f>'Затраты подрядчика'!O128</f>
        <v>36025.93</v>
      </c>
      <c r="G113" s="476">
        <f t="shared" si="13"/>
        <v>1.1025839</v>
      </c>
      <c r="H113" s="363">
        <f>F113*G113+0.01</f>
        <v>39721.620000000003</v>
      </c>
      <c r="I113" s="498">
        <f t="shared" si="14"/>
        <v>1.0645064</v>
      </c>
      <c r="J113" s="499">
        <f>H113*I113+0.01</f>
        <v>42283.93</v>
      </c>
      <c r="K113" s="365">
        <f t="shared" si="16"/>
        <v>41515.24</v>
      </c>
      <c r="L113" s="365">
        <f>'Затраты подрядчика'!M128*K113/F113</f>
        <v>19983.96</v>
      </c>
      <c r="N113" s="515"/>
    </row>
    <row r="114" spans="1:14" ht="31.5" hidden="1" outlineLevel="1" x14ac:dyDescent="0.2">
      <c r="A114" s="375" t="s">
        <v>1186</v>
      </c>
      <c r="B114" s="384"/>
      <c r="C114" s="376" t="s">
        <v>382</v>
      </c>
      <c r="D114" s="358" t="s">
        <v>704</v>
      </c>
      <c r="E114" s="359">
        <v>1</v>
      </c>
      <c r="F114" s="360">
        <f>'Затраты подрядчика'!O129</f>
        <v>36693.230000000003</v>
      </c>
      <c r="G114" s="476">
        <f t="shared" si="13"/>
        <v>1.1025839</v>
      </c>
      <c r="H114" s="363">
        <f t="shared" si="15"/>
        <v>40457.360000000001</v>
      </c>
      <c r="I114" s="498">
        <f t="shared" si="14"/>
        <v>1.0645064</v>
      </c>
      <c r="J114" s="364">
        <f t="shared" si="17"/>
        <v>43067.12</v>
      </c>
      <c r="K114" s="365">
        <f t="shared" si="16"/>
        <v>42284.19</v>
      </c>
      <c r="L114" s="365">
        <f>'Затраты подрядчика'!M129*K114/F114</f>
        <v>19983.95</v>
      </c>
      <c r="N114" s="515"/>
    </row>
    <row r="115" spans="1:14" ht="31.5" hidden="1" outlineLevel="1" x14ac:dyDescent="0.2">
      <c r="A115" s="375" t="s">
        <v>1187</v>
      </c>
      <c r="B115" s="384"/>
      <c r="C115" s="376" t="s">
        <v>385</v>
      </c>
      <c r="D115" s="358" t="s">
        <v>704</v>
      </c>
      <c r="E115" s="359">
        <v>1</v>
      </c>
      <c r="F115" s="360">
        <f>'Затраты подрядчика'!O130</f>
        <v>80993.08</v>
      </c>
      <c r="G115" s="476">
        <f t="shared" si="13"/>
        <v>1.1025839</v>
      </c>
      <c r="H115" s="363">
        <f t="shared" si="15"/>
        <v>89301.67</v>
      </c>
      <c r="I115" s="498">
        <f t="shared" si="14"/>
        <v>1.0645064</v>
      </c>
      <c r="J115" s="364">
        <f t="shared" si="17"/>
        <v>95062.2</v>
      </c>
      <c r="K115" s="365">
        <f t="shared" si="16"/>
        <v>93334.04</v>
      </c>
      <c r="L115" s="365">
        <f>'Затраты подрядчика'!M130*K115/F115</f>
        <v>39025.26</v>
      </c>
      <c r="N115" s="515"/>
    </row>
    <row r="116" spans="1:14" s="142" customFormat="1" ht="20.25" customHeight="1" collapsed="1" x14ac:dyDescent="0.2">
      <c r="A116" s="132" t="s">
        <v>669</v>
      </c>
      <c r="B116" s="348" t="s">
        <v>1048</v>
      </c>
      <c r="C116" s="121" t="s">
        <v>217</v>
      </c>
      <c r="D116" s="329" t="s">
        <v>704</v>
      </c>
      <c r="E116" s="330">
        <v>1</v>
      </c>
      <c r="F116" s="328">
        <f>SUM(F117:F119)</f>
        <v>263448.2</v>
      </c>
      <c r="G116" s="476">
        <f t="shared" si="13"/>
        <v>1.1025839</v>
      </c>
      <c r="H116" s="331">
        <f t="shared" si="15"/>
        <v>290473.74</v>
      </c>
      <c r="I116" s="498">
        <f t="shared" si="14"/>
        <v>1.0645064</v>
      </c>
      <c r="J116" s="333">
        <f t="shared" si="17"/>
        <v>309211.15999999997</v>
      </c>
      <c r="K116" s="334">
        <f t="shared" si="16"/>
        <v>303589.93</v>
      </c>
      <c r="L116" s="334">
        <f>'Затраты подрядчика'!M131*K116/F116</f>
        <v>190743.01</v>
      </c>
      <c r="N116" s="515"/>
    </row>
    <row r="117" spans="1:14" hidden="1" outlineLevel="1" x14ac:dyDescent="0.2">
      <c r="A117" s="375" t="s">
        <v>1188</v>
      </c>
      <c r="B117" s="384"/>
      <c r="C117" s="376" t="s">
        <v>389</v>
      </c>
      <c r="D117" s="358" t="s">
        <v>704</v>
      </c>
      <c r="E117" s="359">
        <v>1</v>
      </c>
      <c r="F117" s="360">
        <f>'Затраты подрядчика'!O132</f>
        <v>41227.269999999997</v>
      </c>
      <c r="G117" s="476">
        <f t="shared" si="13"/>
        <v>1.1025839</v>
      </c>
      <c r="H117" s="363">
        <f t="shared" si="15"/>
        <v>45456.52</v>
      </c>
      <c r="I117" s="498">
        <f t="shared" si="14"/>
        <v>1.0645064</v>
      </c>
      <c r="J117" s="364">
        <f t="shared" si="17"/>
        <v>48388.76</v>
      </c>
      <c r="K117" s="365">
        <f t="shared" si="16"/>
        <v>47509.09</v>
      </c>
      <c r="L117" s="365">
        <f>'Затраты подрядчика'!M132*K117/F117</f>
        <v>27996.38</v>
      </c>
      <c r="N117" s="515"/>
    </row>
    <row r="118" spans="1:14" hidden="1" outlineLevel="1" x14ac:dyDescent="0.2">
      <c r="A118" s="375" t="s">
        <v>1189</v>
      </c>
      <c r="B118" s="384"/>
      <c r="C118" s="376" t="s">
        <v>390</v>
      </c>
      <c r="D118" s="358" t="s">
        <v>704</v>
      </c>
      <c r="E118" s="359">
        <v>1</v>
      </c>
      <c r="F118" s="360">
        <f>'Затраты подрядчика'!O133</f>
        <v>47238.38</v>
      </c>
      <c r="G118" s="476">
        <f t="shared" si="13"/>
        <v>1.1025839</v>
      </c>
      <c r="H118" s="363">
        <f t="shared" si="15"/>
        <v>52084.28</v>
      </c>
      <c r="I118" s="498">
        <f t="shared" si="14"/>
        <v>1.0645064</v>
      </c>
      <c r="J118" s="364">
        <f t="shared" si="17"/>
        <v>55444.05</v>
      </c>
      <c r="K118" s="365">
        <f t="shared" si="16"/>
        <v>54436.12</v>
      </c>
      <c r="L118" s="365">
        <f>'Затраты подрядчика'!M133*K118/F118</f>
        <v>30117.32</v>
      </c>
      <c r="N118" s="515"/>
    </row>
    <row r="119" spans="1:14" ht="21" hidden="1" customHeight="1" outlineLevel="1" x14ac:dyDescent="0.2">
      <c r="A119" s="375" t="s">
        <v>1190</v>
      </c>
      <c r="B119" s="384"/>
      <c r="C119" s="376" t="s">
        <v>441</v>
      </c>
      <c r="D119" s="358" t="s">
        <v>704</v>
      </c>
      <c r="E119" s="359">
        <v>1</v>
      </c>
      <c r="F119" s="360">
        <f>'Затраты подрядчика'!O134</f>
        <v>174982.55</v>
      </c>
      <c r="G119" s="476">
        <f t="shared" si="13"/>
        <v>1.1025839</v>
      </c>
      <c r="H119" s="363">
        <f t="shared" si="15"/>
        <v>192932.94</v>
      </c>
      <c r="I119" s="498">
        <f t="shared" si="14"/>
        <v>1.0645064</v>
      </c>
      <c r="J119" s="364">
        <f t="shared" si="17"/>
        <v>205378.35</v>
      </c>
      <c r="K119" s="365">
        <f t="shared" si="16"/>
        <v>201644.73</v>
      </c>
      <c r="L119" s="365">
        <f>'Затраты подрядчика'!M134*K119/F119</f>
        <v>132629.32</v>
      </c>
      <c r="N119" s="515"/>
    </row>
    <row r="120" spans="1:14" s="142" customFormat="1" ht="31.5" collapsed="1" x14ac:dyDescent="0.2">
      <c r="A120" s="132" t="s">
        <v>670</v>
      </c>
      <c r="B120" s="348" t="s">
        <v>1049</v>
      </c>
      <c r="C120" s="121" t="s">
        <v>219</v>
      </c>
      <c r="D120" s="329" t="s">
        <v>704</v>
      </c>
      <c r="E120" s="330">
        <v>1</v>
      </c>
      <c r="F120" s="328">
        <f>'Затраты подрядчика'!O135</f>
        <v>82782.44</v>
      </c>
      <c r="G120" s="476">
        <f t="shared" si="13"/>
        <v>1.1025839</v>
      </c>
      <c r="H120" s="331">
        <f t="shared" si="15"/>
        <v>91274.59</v>
      </c>
      <c r="I120" s="498">
        <f t="shared" si="14"/>
        <v>1.0645064</v>
      </c>
      <c r="J120" s="333">
        <f t="shared" si="17"/>
        <v>97162.39</v>
      </c>
      <c r="K120" s="334">
        <f t="shared" si="16"/>
        <v>95396.05</v>
      </c>
      <c r="L120" s="334">
        <f>'Затраты подрядчика'!M135*K120/F120</f>
        <v>85591.63</v>
      </c>
      <c r="N120" s="515"/>
    </row>
    <row r="121" spans="1:14" s="142" customFormat="1" ht="21" customHeight="1" x14ac:dyDescent="0.2">
      <c r="A121" s="132" t="s">
        <v>671</v>
      </c>
      <c r="B121" s="348" t="s">
        <v>1050</v>
      </c>
      <c r="C121" s="121" t="s">
        <v>221</v>
      </c>
      <c r="D121" s="329" t="s">
        <v>704</v>
      </c>
      <c r="E121" s="330">
        <v>1</v>
      </c>
      <c r="F121" s="328">
        <f>SUM(F122:F124)</f>
        <v>81045.350000000006</v>
      </c>
      <c r="G121" s="476">
        <f t="shared" si="13"/>
        <v>1.1025839</v>
      </c>
      <c r="H121" s="331">
        <f t="shared" si="15"/>
        <v>89359.3</v>
      </c>
      <c r="I121" s="498">
        <f t="shared" si="14"/>
        <v>1.0645064</v>
      </c>
      <c r="J121" s="333">
        <f t="shared" si="17"/>
        <v>95123.55</v>
      </c>
      <c r="K121" s="334">
        <f t="shared" si="16"/>
        <v>93394.28</v>
      </c>
      <c r="L121" s="334">
        <f>'Затраты подрядчика'!M136*K121/F121</f>
        <v>18899.919999999998</v>
      </c>
      <c r="N121" s="515"/>
    </row>
    <row r="122" spans="1:14" ht="31.5" hidden="1" outlineLevel="1" x14ac:dyDescent="0.2">
      <c r="A122" s="375" t="s">
        <v>1191</v>
      </c>
      <c r="B122" s="384"/>
      <c r="C122" s="376" t="s">
        <v>381</v>
      </c>
      <c r="D122" s="358" t="s">
        <v>704</v>
      </c>
      <c r="E122" s="359">
        <v>1</v>
      </c>
      <c r="F122" s="360">
        <f>'Затраты подрядчика'!O137</f>
        <v>21745.98</v>
      </c>
      <c r="G122" s="476">
        <f t="shared" si="13"/>
        <v>1.1025839</v>
      </c>
      <c r="H122" s="481">
        <f>F122*G122+0.01</f>
        <v>23976.78</v>
      </c>
      <c r="I122" s="498">
        <f t="shared" si="14"/>
        <v>1.0645064</v>
      </c>
      <c r="J122" s="364">
        <f t="shared" si="17"/>
        <v>25523.439999999999</v>
      </c>
      <c r="K122" s="502">
        <f>H122+(J122-H122)*(1-30/100)-0.01</f>
        <v>25059.43</v>
      </c>
      <c r="L122" s="365">
        <f>'Затраты подрядчика'!M137*K122/F122</f>
        <v>6315.68</v>
      </c>
      <c r="N122" s="515"/>
    </row>
    <row r="123" spans="1:14" ht="31.5" hidden="1" outlineLevel="1" x14ac:dyDescent="0.2">
      <c r="A123" s="375" t="s">
        <v>1192</v>
      </c>
      <c r="B123" s="384"/>
      <c r="C123" s="376" t="s">
        <v>382</v>
      </c>
      <c r="D123" s="358" t="s">
        <v>704</v>
      </c>
      <c r="E123" s="359">
        <v>1</v>
      </c>
      <c r="F123" s="360">
        <f>'Затраты подрядчика'!O138</f>
        <v>27332.98</v>
      </c>
      <c r="G123" s="476">
        <f t="shared" si="13"/>
        <v>1.1025839</v>
      </c>
      <c r="H123" s="363">
        <f t="shared" si="15"/>
        <v>30136.9</v>
      </c>
      <c r="I123" s="498">
        <f t="shared" si="14"/>
        <v>1.0645064</v>
      </c>
      <c r="J123" s="364">
        <f t="shared" si="17"/>
        <v>32080.92</v>
      </c>
      <c r="K123" s="365">
        <f t="shared" si="16"/>
        <v>31497.71</v>
      </c>
      <c r="L123" s="365">
        <f>'Затраты подрядчика'!M138*K123/F123</f>
        <v>6409.94</v>
      </c>
      <c r="N123" s="515"/>
    </row>
    <row r="124" spans="1:14" ht="31.5" hidden="1" outlineLevel="1" x14ac:dyDescent="0.2">
      <c r="A124" s="375" t="s">
        <v>1193</v>
      </c>
      <c r="B124" s="384"/>
      <c r="C124" s="376" t="s">
        <v>385</v>
      </c>
      <c r="D124" s="358" t="s">
        <v>704</v>
      </c>
      <c r="E124" s="359">
        <v>1</v>
      </c>
      <c r="F124" s="360">
        <f>'Затраты подрядчика'!O139</f>
        <v>31966.39</v>
      </c>
      <c r="G124" s="476">
        <f t="shared" si="13"/>
        <v>1.1025839</v>
      </c>
      <c r="H124" s="363">
        <f t="shared" si="15"/>
        <v>35245.629999999997</v>
      </c>
      <c r="I124" s="498">
        <f t="shared" si="14"/>
        <v>1.0645064</v>
      </c>
      <c r="J124" s="364">
        <f t="shared" si="17"/>
        <v>37519.199999999997</v>
      </c>
      <c r="K124" s="365">
        <f t="shared" si="16"/>
        <v>36837.129999999997</v>
      </c>
      <c r="L124" s="365">
        <f>'Затраты подрядчика'!M139*K124/F124</f>
        <v>6174.29</v>
      </c>
      <c r="N124" s="515"/>
    </row>
    <row r="125" spans="1:14" s="142" customFormat="1" ht="47.25" collapsed="1" x14ac:dyDescent="0.2">
      <c r="A125" s="132" t="s">
        <v>672</v>
      </c>
      <c r="B125" s="348" t="s">
        <v>1051</v>
      </c>
      <c r="C125" s="327" t="s">
        <v>880</v>
      </c>
      <c r="D125" s="329" t="s">
        <v>704</v>
      </c>
      <c r="E125" s="330">
        <v>1</v>
      </c>
      <c r="F125" s="328">
        <f>'Затраты подрядчика'!O140</f>
        <v>2152284.48</v>
      </c>
      <c r="G125" s="476">
        <f t="shared" si="13"/>
        <v>1.1025839</v>
      </c>
      <c r="H125" s="331">
        <f t="shared" si="15"/>
        <v>2373074.2200000002</v>
      </c>
      <c r="I125" s="498">
        <f t="shared" si="14"/>
        <v>1.0645064</v>
      </c>
      <c r="J125" s="333">
        <f t="shared" si="17"/>
        <v>2526152.69</v>
      </c>
      <c r="K125" s="334">
        <f t="shared" si="16"/>
        <v>2480229.15</v>
      </c>
      <c r="L125" s="334"/>
      <c r="N125" s="515"/>
    </row>
    <row r="126" spans="1:14" s="145" customFormat="1" x14ac:dyDescent="0.2">
      <c r="A126" s="134" t="s">
        <v>673</v>
      </c>
      <c r="B126" s="347" t="s">
        <v>1052</v>
      </c>
      <c r="C126" s="133" t="s">
        <v>40</v>
      </c>
      <c r="D126" s="120" t="s">
        <v>704</v>
      </c>
      <c r="E126" s="119">
        <v>1</v>
      </c>
      <c r="F126" s="150">
        <f>F127+F149+F176</f>
        <v>462779449.50999999</v>
      </c>
      <c r="G126" s="476"/>
      <c r="H126" s="150">
        <f>H127+H149+H176</f>
        <v>510253170.29000002</v>
      </c>
      <c r="I126" s="325"/>
      <c r="J126" s="150">
        <f>J127+J149+J176</f>
        <v>543167765.39999998</v>
      </c>
      <c r="K126" s="150">
        <f>K127+K149+K176</f>
        <v>533293386.87</v>
      </c>
      <c r="L126" s="150"/>
      <c r="N126" s="515"/>
    </row>
    <row r="127" spans="1:14" ht="47.25" x14ac:dyDescent="0.2">
      <c r="A127" s="326" t="s">
        <v>674</v>
      </c>
      <c r="B127" s="349" t="s">
        <v>1053</v>
      </c>
      <c r="C127" s="349" t="s">
        <v>1008</v>
      </c>
      <c r="D127" s="329" t="s">
        <v>704</v>
      </c>
      <c r="E127" s="330">
        <v>1</v>
      </c>
      <c r="F127" s="328">
        <f>F128+F136+F140+F143+F146</f>
        <v>52066216.409999996</v>
      </c>
      <c r="G127" s="476">
        <f t="shared" si="13"/>
        <v>1.1025839</v>
      </c>
      <c r="H127" s="328">
        <f>F127*G127</f>
        <v>57407371.950000003</v>
      </c>
      <c r="I127" s="498">
        <f t="shared" ref="I127:I158" si="18">$F$348</f>
        <v>1.0645064</v>
      </c>
      <c r="J127" s="328">
        <f>H127*I127</f>
        <v>61110514.850000001</v>
      </c>
      <c r="K127" s="334">
        <f t="shared" si="16"/>
        <v>59999571.979999997</v>
      </c>
      <c r="L127" s="328"/>
      <c r="N127" s="515"/>
    </row>
    <row r="128" spans="1:14" hidden="1" outlineLevel="1" x14ac:dyDescent="0.2">
      <c r="A128" s="356" t="s">
        <v>932</v>
      </c>
      <c r="B128" s="357" t="s">
        <v>317</v>
      </c>
      <c r="C128" s="357" t="s">
        <v>318</v>
      </c>
      <c r="D128" s="358" t="s">
        <v>704</v>
      </c>
      <c r="E128" s="359">
        <v>1</v>
      </c>
      <c r="F128" s="360">
        <f>SUM(F129:F135)</f>
        <v>38070153.07</v>
      </c>
      <c r="G128" s="476">
        <f t="shared" si="13"/>
        <v>1.1025839</v>
      </c>
      <c r="H128" s="483">
        <f>F128*G128+0.01</f>
        <v>41975537.859999999</v>
      </c>
      <c r="I128" s="498">
        <f t="shared" si="18"/>
        <v>1.0645064</v>
      </c>
      <c r="J128" s="483">
        <f>H128*I128-0.01</f>
        <v>44683228.689999998</v>
      </c>
      <c r="K128" s="365">
        <f t="shared" si="16"/>
        <v>43870921.439999998</v>
      </c>
      <c r="L128" s="360"/>
      <c r="N128" s="515"/>
    </row>
    <row r="129" spans="1:14" s="145" customFormat="1" hidden="1" outlineLevel="2" x14ac:dyDescent="0.2">
      <c r="A129" s="354" t="s">
        <v>940</v>
      </c>
      <c r="B129" s="355"/>
      <c r="C129" s="355" t="s">
        <v>374</v>
      </c>
      <c r="D129" s="336" t="s">
        <v>704</v>
      </c>
      <c r="E129" s="337">
        <v>1</v>
      </c>
      <c r="F129" s="338">
        <f>'Затраты подрядчика'!O144</f>
        <v>1197548.67</v>
      </c>
      <c r="G129" s="476">
        <f t="shared" si="13"/>
        <v>1.1025839</v>
      </c>
      <c r="H129" s="339">
        <f>F129*G129</f>
        <v>1320397.8799999999</v>
      </c>
      <c r="I129" s="498">
        <f t="shared" si="18"/>
        <v>1.0645064</v>
      </c>
      <c r="J129" s="340">
        <f>H129*I129</f>
        <v>1405571.99</v>
      </c>
      <c r="K129" s="502">
        <f>H129+(J129-H129)*(1-30/100)+0.01</f>
        <v>1380019.77</v>
      </c>
      <c r="L129" s="362"/>
      <c r="N129" s="515"/>
    </row>
    <row r="130" spans="1:14" s="145" customFormat="1" hidden="1" outlineLevel="2" x14ac:dyDescent="0.2">
      <c r="A130" s="354" t="s">
        <v>941</v>
      </c>
      <c r="B130" s="355"/>
      <c r="C130" s="355" t="s">
        <v>465</v>
      </c>
      <c r="D130" s="336" t="s">
        <v>704</v>
      </c>
      <c r="E130" s="337">
        <v>1</v>
      </c>
      <c r="F130" s="338">
        <f>'Затраты подрядчика'!O145</f>
        <v>8004065.9699999997</v>
      </c>
      <c r="G130" s="476">
        <f t="shared" si="13"/>
        <v>1.1025839</v>
      </c>
      <c r="H130" s="339">
        <f t="shared" ref="H130" si="19">F130*G130</f>
        <v>8825154.2699999996</v>
      </c>
      <c r="I130" s="498">
        <f t="shared" si="18"/>
        <v>1.0645064</v>
      </c>
      <c r="J130" s="499">
        <f>H130*I130+0.01</f>
        <v>9394433.2100000009</v>
      </c>
      <c r="K130" s="341">
        <f t="shared" ref="K130" si="20">H130+(J130-H130)*(1-30/100)</f>
        <v>9223649.5299999993</v>
      </c>
      <c r="L130" s="362"/>
      <c r="N130" s="515"/>
    </row>
    <row r="131" spans="1:14" s="145" customFormat="1" hidden="1" outlineLevel="2" x14ac:dyDescent="0.2">
      <c r="A131" s="354" t="s">
        <v>942</v>
      </c>
      <c r="B131" s="355"/>
      <c r="C131" s="355" t="s">
        <v>466</v>
      </c>
      <c r="D131" s="336" t="s">
        <v>704</v>
      </c>
      <c r="E131" s="337">
        <v>1</v>
      </c>
      <c r="F131" s="338">
        <f>'Затраты подрядчика'!O146</f>
        <v>1489658.12</v>
      </c>
      <c r="G131" s="476">
        <f t="shared" si="13"/>
        <v>1.1025839</v>
      </c>
      <c r="H131" s="339">
        <f t="shared" ref="H131:H135" si="21">F131*G131</f>
        <v>1642473.06</v>
      </c>
      <c r="I131" s="498">
        <f t="shared" si="18"/>
        <v>1.0645064</v>
      </c>
      <c r="J131" s="340">
        <f t="shared" ref="J131:J135" si="22">H131*I131</f>
        <v>1748423.08</v>
      </c>
      <c r="K131" s="341">
        <f t="shared" ref="K131:K136" si="23">H131+(J131-H131)*(1-30/100)</f>
        <v>1716638.07</v>
      </c>
      <c r="L131" s="362"/>
      <c r="N131" s="515"/>
    </row>
    <row r="132" spans="1:14" s="145" customFormat="1" ht="31.5" hidden="1" outlineLevel="2" x14ac:dyDescent="0.2">
      <c r="A132" s="354" t="s">
        <v>943</v>
      </c>
      <c r="B132" s="355"/>
      <c r="C132" s="355" t="s">
        <v>467</v>
      </c>
      <c r="D132" s="336" t="s">
        <v>704</v>
      </c>
      <c r="E132" s="337">
        <v>1</v>
      </c>
      <c r="F132" s="338">
        <f>'Затраты подрядчика'!O147</f>
        <v>21678158.280000001</v>
      </c>
      <c r="G132" s="476">
        <f t="shared" si="13"/>
        <v>1.1025839</v>
      </c>
      <c r="H132" s="339">
        <f t="shared" si="21"/>
        <v>23901988.300000001</v>
      </c>
      <c r="I132" s="498">
        <f t="shared" si="18"/>
        <v>1.0645064</v>
      </c>
      <c r="J132" s="340">
        <f t="shared" si="22"/>
        <v>25443819.52</v>
      </c>
      <c r="K132" s="341">
        <f t="shared" si="23"/>
        <v>24981270.149999999</v>
      </c>
      <c r="L132" s="362"/>
      <c r="N132" s="515"/>
    </row>
    <row r="133" spans="1:14" s="145" customFormat="1" ht="31.5" hidden="1" outlineLevel="2" x14ac:dyDescent="0.2">
      <c r="A133" s="354" t="s">
        <v>944</v>
      </c>
      <c r="B133" s="355"/>
      <c r="C133" s="355" t="s">
        <v>468</v>
      </c>
      <c r="D133" s="336" t="s">
        <v>704</v>
      </c>
      <c r="E133" s="337">
        <v>1</v>
      </c>
      <c r="F133" s="338">
        <f>'Затраты подрядчика'!O148</f>
        <v>315631.69</v>
      </c>
      <c r="G133" s="476">
        <f t="shared" si="13"/>
        <v>1.1025839</v>
      </c>
      <c r="H133" s="339">
        <f t="shared" si="21"/>
        <v>348010.42</v>
      </c>
      <c r="I133" s="498">
        <f t="shared" si="18"/>
        <v>1.0645064</v>
      </c>
      <c r="J133" s="340">
        <f t="shared" si="22"/>
        <v>370459.32</v>
      </c>
      <c r="K133" s="341">
        <f t="shared" si="23"/>
        <v>363724.65</v>
      </c>
      <c r="L133" s="362"/>
      <c r="N133" s="515"/>
    </row>
    <row r="134" spans="1:14" s="145" customFormat="1" hidden="1" outlineLevel="2" x14ac:dyDescent="0.2">
      <c r="A134" s="354" t="s">
        <v>945</v>
      </c>
      <c r="B134" s="355"/>
      <c r="C134" s="355" t="s">
        <v>469</v>
      </c>
      <c r="D134" s="336" t="s">
        <v>704</v>
      </c>
      <c r="E134" s="337">
        <v>1</v>
      </c>
      <c r="F134" s="338">
        <f>'Затраты подрядчика'!O149</f>
        <v>1362120.9</v>
      </c>
      <c r="G134" s="476">
        <f t="shared" si="13"/>
        <v>1.1025839</v>
      </c>
      <c r="H134" s="339">
        <f t="shared" si="21"/>
        <v>1501852.57</v>
      </c>
      <c r="I134" s="498">
        <f t="shared" si="18"/>
        <v>1.0645064</v>
      </c>
      <c r="J134" s="340">
        <f t="shared" si="22"/>
        <v>1598731.67</v>
      </c>
      <c r="K134" s="341">
        <f t="shared" si="23"/>
        <v>1569667.94</v>
      </c>
      <c r="L134" s="362"/>
      <c r="N134" s="515"/>
    </row>
    <row r="135" spans="1:14" s="145" customFormat="1" ht="47.25" hidden="1" outlineLevel="2" x14ac:dyDescent="0.2">
      <c r="A135" s="354" t="s">
        <v>946</v>
      </c>
      <c r="B135" s="355" t="s">
        <v>334</v>
      </c>
      <c r="C135" s="355" t="s">
        <v>491</v>
      </c>
      <c r="D135" s="336" t="s">
        <v>704</v>
      </c>
      <c r="E135" s="337">
        <v>1</v>
      </c>
      <c r="F135" s="338">
        <f>'Затраты подрядчика'!O150</f>
        <v>4022969.44</v>
      </c>
      <c r="G135" s="476">
        <f t="shared" si="13"/>
        <v>1.1025839</v>
      </c>
      <c r="H135" s="339">
        <f t="shared" si="21"/>
        <v>4435661.33</v>
      </c>
      <c r="I135" s="498">
        <f t="shared" si="18"/>
        <v>1.0645064</v>
      </c>
      <c r="J135" s="340">
        <f t="shared" si="22"/>
        <v>4721789.87</v>
      </c>
      <c r="K135" s="341">
        <f t="shared" si="23"/>
        <v>4635951.3099999996</v>
      </c>
      <c r="L135" s="362"/>
      <c r="N135" s="515"/>
    </row>
    <row r="136" spans="1:14" hidden="1" outlineLevel="1" x14ac:dyDescent="0.2">
      <c r="A136" s="356" t="s">
        <v>933</v>
      </c>
      <c r="B136" s="357" t="s">
        <v>321</v>
      </c>
      <c r="C136" s="357" t="s">
        <v>322</v>
      </c>
      <c r="D136" s="358" t="s">
        <v>704</v>
      </c>
      <c r="E136" s="359">
        <v>1</v>
      </c>
      <c r="F136" s="360">
        <f>SUM(F137:F139)</f>
        <v>10983048.57</v>
      </c>
      <c r="G136" s="476">
        <f t="shared" si="13"/>
        <v>1.1025839</v>
      </c>
      <c r="H136" s="360">
        <f>F136*G136</f>
        <v>12109732.529999999</v>
      </c>
      <c r="I136" s="498">
        <f t="shared" si="18"/>
        <v>1.0645064</v>
      </c>
      <c r="J136" s="360">
        <f>H136*I136</f>
        <v>12890887.779999999</v>
      </c>
      <c r="K136" s="365">
        <f t="shared" si="23"/>
        <v>12656541.210000001</v>
      </c>
      <c r="L136" s="360"/>
      <c r="N136" s="515"/>
    </row>
    <row r="137" spans="1:14" s="145" customFormat="1" hidden="1" outlineLevel="2" x14ac:dyDescent="0.2">
      <c r="A137" s="354" t="s">
        <v>947</v>
      </c>
      <c r="B137" s="355"/>
      <c r="C137" s="355" t="s">
        <v>374</v>
      </c>
      <c r="D137" s="336" t="s">
        <v>704</v>
      </c>
      <c r="E137" s="337">
        <v>1</v>
      </c>
      <c r="F137" s="338">
        <f>'Затраты подрядчика'!O152</f>
        <v>3174834.4</v>
      </c>
      <c r="G137" s="476">
        <f t="shared" si="13"/>
        <v>1.1025839</v>
      </c>
      <c r="H137" s="339">
        <f t="shared" ref="H137" si="24">F137*G137</f>
        <v>3500521.29</v>
      </c>
      <c r="I137" s="498">
        <f t="shared" si="18"/>
        <v>1.0645064</v>
      </c>
      <c r="J137" s="499">
        <f>H137*I137-0.01</f>
        <v>3726327.31</v>
      </c>
      <c r="K137" s="341">
        <f t="shared" ref="K137" si="25">H137+(J137-H137)*(1-30/100)</f>
        <v>3658585.5</v>
      </c>
      <c r="L137" s="362"/>
      <c r="N137" s="515"/>
    </row>
    <row r="138" spans="1:14" s="145" customFormat="1" hidden="1" outlineLevel="2" x14ac:dyDescent="0.2">
      <c r="A138" s="354" t="s">
        <v>948</v>
      </c>
      <c r="B138" s="355"/>
      <c r="C138" s="355" t="s">
        <v>475</v>
      </c>
      <c r="D138" s="336" t="s">
        <v>704</v>
      </c>
      <c r="E138" s="337">
        <v>1</v>
      </c>
      <c r="F138" s="338">
        <f>'Затраты подрядчика'!O153</f>
        <v>7583168.1100000003</v>
      </c>
      <c r="G138" s="476">
        <f t="shared" si="13"/>
        <v>1.1025839</v>
      </c>
      <c r="H138" s="339">
        <f t="shared" ref="H138:H139" si="26">F138*G138</f>
        <v>8361079.0700000003</v>
      </c>
      <c r="I138" s="498">
        <f t="shared" si="18"/>
        <v>1.0645064</v>
      </c>
      <c r="J138" s="340">
        <f t="shared" ref="J138:J139" si="27">H138*I138</f>
        <v>8900422.1799999997</v>
      </c>
      <c r="K138" s="341">
        <f t="shared" ref="K138:K140" si="28">H138+(J138-H138)*(1-30/100)</f>
        <v>8738619.25</v>
      </c>
      <c r="L138" s="362"/>
      <c r="N138" s="515"/>
    </row>
    <row r="139" spans="1:14" s="145" customFormat="1" ht="47.25" hidden="1" outlineLevel="2" x14ac:dyDescent="0.2">
      <c r="A139" s="354" t="s">
        <v>949</v>
      </c>
      <c r="B139" s="355" t="s">
        <v>334</v>
      </c>
      <c r="C139" s="355" t="s">
        <v>493</v>
      </c>
      <c r="D139" s="336" t="s">
        <v>704</v>
      </c>
      <c r="E139" s="337">
        <v>1</v>
      </c>
      <c r="F139" s="338">
        <f>'Затраты подрядчика'!O154</f>
        <v>225046.06</v>
      </c>
      <c r="G139" s="476">
        <f t="shared" si="13"/>
        <v>1.1025839</v>
      </c>
      <c r="H139" s="339">
        <f t="shared" si="26"/>
        <v>248132.16</v>
      </c>
      <c r="I139" s="498">
        <f t="shared" si="18"/>
        <v>1.0645064</v>
      </c>
      <c r="J139" s="340">
        <f t="shared" si="27"/>
        <v>264138.27</v>
      </c>
      <c r="K139" s="341">
        <f t="shared" si="28"/>
        <v>259336.44</v>
      </c>
      <c r="L139" s="362"/>
      <c r="N139" s="515"/>
    </row>
    <row r="140" spans="1:14" ht="31.5" hidden="1" outlineLevel="1" x14ac:dyDescent="0.2">
      <c r="A140" s="356" t="s">
        <v>934</v>
      </c>
      <c r="B140" s="357"/>
      <c r="C140" s="357" t="s">
        <v>806</v>
      </c>
      <c r="D140" s="358" t="s">
        <v>704</v>
      </c>
      <c r="E140" s="359">
        <v>1</v>
      </c>
      <c r="F140" s="360">
        <f>SUM(F141:F142)</f>
        <v>716427.22</v>
      </c>
      <c r="G140" s="476">
        <f t="shared" si="13"/>
        <v>1.1025839</v>
      </c>
      <c r="H140" s="360">
        <f>F140*G140</f>
        <v>789921.12</v>
      </c>
      <c r="I140" s="498">
        <f t="shared" si="18"/>
        <v>1.0645064</v>
      </c>
      <c r="J140" s="360">
        <f>H140*I140</f>
        <v>840876.09</v>
      </c>
      <c r="K140" s="365">
        <f t="shared" si="28"/>
        <v>825589.6</v>
      </c>
      <c r="L140" s="360"/>
      <c r="N140" s="515"/>
    </row>
    <row r="141" spans="1:14" s="145" customFormat="1" ht="31.5" hidden="1" outlineLevel="2" x14ac:dyDescent="0.2">
      <c r="A141" s="354" t="s">
        <v>950</v>
      </c>
      <c r="B141" s="355" t="s">
        <v>329</v>
      </c>
      <c r="C141" s="355" t="s">
        <v>806</v>
      </c>
      <c r="D141" s="336" t="s">
        <v>704</v>
      </c>
      <c r="E141" s="337">
        <v>1</v>
      </c>
      <c r="F141" s="338">
        <f>'Затраты подрядчика'!O156</f>
        <v>716093.57</v>
      </c>
      <c r="G141" s="476">
        <f t="shared" si="13"/>
        <v>1.1025839</v>
      </c>
      <c r="H141" s="339">
        <f t="shared" ref="H141" si="29">F141*G141</f>
        <v>789553.24</v>
      </c>
      <c r="I141" s="498">
        <f t="shared" si="18"/>
        <v>1.0645064</v>
      </c>
      <c r="J141" s="499">
        <f>H141*I141+0.01</f>
        <v>840484.49</v>
      </c>
      <c r="K141" s="341">
        <f t="shared" ref="K141" si="30">H141+(J141-H141)*(1-30/100)</f>
        <v>825205.12</v>
      </c>
      <c r="L141" s="362"/>
      <c r="N141" s="515"/>
    </row>
    <row r="142" spans="1:14" s="145" customFormat="1" ht="47.25" hidden="1" outlineLevel="2" x14ac:dyDescent="0.2">
      <c r="A142" s="354" t="s">
        <v>951</v>
      </c>
      <c r="B142" s="355" t="s">
        <v>334</v>
      </c>
      <c r="C142" s="355" t="s">
        <v>497</v>
      </c>
      <c r="D142" s="336" t="s">
        <v>704</v>
      </c>
      <c r="E142" s="337">
        <v>1</v>
      </c>
      <c r="F142" s="338">
        <f>'Затраты подрядчика'!O157</f>
        <v>333.65</v>
      </c>
      <c r="G142" s="476">
        <f t="shared" si="13"/>
        <v>1.1025839</v>
      </c>
      <c r="H142" s="339">
        <f t="shared" ref="H142" si="31">F142*G142</f>
        <v>367.88</v>
      </c>
      <c r="I142" s="498">
        <f t="shared" si="18"/>
        <v>1.0645064</v>
      </c>
      <c r="J142" s="340">
        <f t="shared" ref="J142" si="32">H142*I142</f>
        <v>391.61</v>
      </c>
      <c r="K142" s="341">
        <f t="shared" ref="K142:K143" si="33">H142+(J142-H142)*(1-30/100)</f>
        <v>384.49</v>
      </c>
      <c r="L142" s="362"/>
      <c r="N142" s="515"/>
    </row>
    <row r="143" spans="1:14" ht="31.5" hidden="1" outlineLevel="1" x14ac:dyDescent="0.2">
      <c r="A143" s="356" t="s">
        <v>935</v>
      </c>
      <c r="B143" s="357"/>
      <c r="C143" s="357" t="s">
        <v>807</v>
      </c>
      <c r="D143" s="358" t="s">
        <v>704</v>
      </c>
      <c r="E143" s="359">
        <v>1</v>
      </c>
      <c r="F143" s="360">
        <f>SUM(F144:F145)</f>
        <v>1443280.95</v>
      </c>
      <c r="G143" s="476">
        <f t="shared" si="13"/>
        <v>1.1025839</v>
      </c>
      <c r="H143" s="360">
        <f>F143*G143</f>
        <v>1591338.34</v>
      </c>
      <c r="I143" s="498">
        <f t="shared" si="18"/>
        <v>1.0645064</v>
      </c>
      <c r="J143" s="360">
        <f>H143*I143</f>
        <v>1693989.85</v>
      </c>
      <c r="K143" s="365">
        <f t="shared" si="33"/>
        <v>1663194.4</v>
      </c>
      <c r="L143" s="360"/>
      <c r="N143" s="515"/>
    </row>
    <row r="144" spans="1:14" s="145" customFormat="1" ht="31.5" hidden="1" outlineLevel="2" x14ac:dyDescent="0.2">
      <c r="A144" s="354" t="s">
        <v>952</v>
      </c>
      <c r="B144" s="355" t="s">
        <v>329</v>
      </c>
      <c r="C144" s="355" t="s">
        <v>807</v>
      </c>
      <c r="D144" s="336" t="s">
        <v>704</v>
      </c>
      <c r="E144" s="337">
        <v>1</v>
      </c>
      <c r="F144" s="338">
        <f>'Затраты подрядчика'!O159</f>
        <v>1442613.65</v>
      </c>
      <c r="G144" s="476">
        <f t="shared" si="13"/>
        <v>1.1025839</v>
      </c>
      <c r="H144" s="339">
        <f t="shared" ref="H144" si="34">F144*G144</f>
        <v>1590602.58</v>
      </c>
      <c r="I144" s="498">
        <f t="shared" si="18"/>
        <v>1.0645064</v>
      </c>
      <c r="J144" s="340">
        <f t="shared" ref="J144" si="35">H144*I144</f>
        <v>1693206.63</v>
      </c>
      <c r="K144" s="502">
        <f>H144+(J144-H144)*(1-30/100)-0.01</f>
        <v>1662425.41</v>
      </c>
      <c r="L144" s="362"/>
      <c r="N144" s="515"/>
    </row>
    <row r="145" spans="1:14" s="145" customFormat="1" ht="47.25" hidden="1" outlineLevel="2" x14ac:dyDescent="0.2">
      <c r="A145" s="354" t="s">
        <v>953</v>
      </c>
      <c r="B145" s="355" t="s">
        <v>334</v>
      </c>
      <c r="C145" s="355" t="s">
        <v>497</v>
      </c>
      <c r="D145" s="336" t="s">
        <v>704</v>
      </c>
      <c r="E145" s="337">
        <v>1</v>
      </c>
      <c r="F145" s="338">
        <f>'Затраты подрядчика'!O160</f>
        <v>667.3</v>
      </c>
      <c r="G145" s="476">
        <f t="shared" si="13"/>
        <v>1.1025839</v>
      </c>
      <c r="H145" s="339">
        <f t="shared" ref="H145" si="36">F145*G145</f>
        <v>735.75</v>
      </c>
      <c r="I145" s="498">
        <f t="shared" si="18"/>
        <v>1.0645064</v>
      </c>
      <c r="J145" s="340">
        <f t="shared" ref="J145" si="37">H145*I145</f>
        <v>783.21</v>
      </c>
      <c r="K145" s="341">
        <f t="shared" ref="K145:K146" si="38">H145+(J145-H145)*(1-30/100)</f>
        <v>768.97</v>
      </c>
      <c r="L145" s="362"/>
      <c r="N145" s="515"/>
    </row>
    <row r="146" spans="1:14" ht="31.5" hidden="1" outlineLevel="1" x14ac:dyDescent="0.2">
      <c r="A146" s="356" t="s">
        <v>936</v>
      </c>
      <c r="B146" s="357"/>
      <c r="C146" s="357" t="s">
        <v>808</v>
      </c>
      <c r="D146" s="358" t="s">
        <v>704</v>
      </c>
      <c r="E146" s="359">
        <v>1</v>
      </c>
      <c r="F146" s="360">
        <f>SUM(F147:F148)</f>
        <v>853306.6</v>
      </c>
      <c r="G146" s="476">
        <f t="shared" ref="G146:G209" si="39">$G$303</f>
        <v>1.1025839</v>
      </c>
      <c r="H146" s="360">
        <f>F146*G146</f>
        <v>940842.12</v>
      </c>
      <c r="I146" s="498">
        <f t="shared" si="18"/>
        <v>1.0645064</v>
      </c>
      <c r="J146" s="360">
        <f>H146*I146</f>
        <v>1001532.46</v>
      </c>
      <c r="K146" s="365">
        <f t="shared" si="38"/>
        <v>983325.36</v>
      </c>
      <c r="L146" s="360"/>
      <c r="N146" s="515"/>
    </row>
    <row r="147" spans="1:14" s="145" customFormat="1" ht="31.5" hidden="1" outlineLevel="2" x14ac:dyDescent="0.2">
      <c r="A147" s="354" t="s">
        <v>954</v>
      </c>
      <c r="B147" s="355" t="s">
        <v>329</v>
      </c>
      <c r="C147" s="355" t="s">
        <v>808</v>
      </c>
      <c r="D147" s="336" t="s">
        <v>704</v>
      </c>
      <c r="E147" s="337">
        <v>1</v>
      </c>
      <c r="F147" s="338">
        <f>'Затраты подрядчика'!O162</f>
        <v>852889.54</v>
      </c>
      <c r="G147" s="476">
        <f t="shared" si="39"/>
        <v>1.1025839</v>
      </c>
      <c r="H147" s="339">
        <f t="shared" ref="H147" si="40">F147*G147</f>
        <v>940382.28</v>
      </c>
      <c r="I147" s="498">
        <f t="shared" si="18"/>
        <v>1.0645064</v>
      </c>
      <c r="J147" s="340">
        <f t="shared" ref="J147" si="41">H147*I147</f>
        <v>1001042.96</v>
      </c>
      <c r="K147" s="341">
        <f t="shared" ref="K147" si="42">H147+(J147-H147)*(1-30/100)</f>
        <v>982844.76</v>
      </c>
      <c r="L147" s="362"/>
      <c r="N147" s="515"/>
    </row>
    <row r="148" spans="1:14" s="145" customFormat="1" ht="47.25" hidden="1" outlineLevel="2" x14ac:dyDescent="0.2">
      <c r="A148" s="354" t="s">
        <v>955</v>
      </c>
      <c r="B148" s="355" t="s">
        <v>334</v>
      </c>
      <c r="C148" s="355" t="s">
        <v>497</v>
      </c>
      <c r="D148" s="336" t="s">
        <v>704</v>
      </c>
      <c r="E148" s="337">
        <v>1</v>
      </c>
      <c r="F148" s="338">
        <f>'Затраты подрядчика'!O163</f>
        <v>417.06</v>
      </c>
      <c r="G148" s="476">
        <f t="shared" si="39"/>
        <v>1.1025839</v>
      </c>
      <c r="H148" s="339">
        <f t="shared" ref="H148" si="43">F148*G148</f>
        <v>459.84</v>
      </c>
      <c r="I148" s="498">
        <f t="shared" si="18"/>
        <v>1.0645064</v>
      </c>
      <c r="J148" s="340">
        <f t="shared" ref="J148" si="44">H148*I148</f>
        <v>489.5</v>
      </c>
      <c r="K148" s="341">
        <f t="shared" ref="K148:K150" si="45">H148+(J148-H148)*(1-30/100)</f>
        <v>480.6</v>
      </c>
      <c r="L148" s="362"/>
      <c r="M148" s="482"/>
      <c r="N148" s="515"/>
    </row>
    <row r="149" spans="1:14" ht="63" collapsed="1" x14ac:dyDescent="0.2">
      <c r="A149" s="404" t="s">
        <v>675</v>
      </c>
      <c r="B149" s="349" t="s">
        <v>1054</v>
      </c>
      <c r="C149" s="349" t="s">
        <v>1006</v>
      </c>
      <c r="D149" s="329" t="s">
        <v>704</v>
      </c>
      <c r="E149" s="330">
        <v>1</v>
      </c>
      <c r="F149" s="328">
        <f>F150+F154+F158+F162+F173</f>
        <v>346232615.12</v>
      </c>
      <c r="G149" s="476">
        <f t="shared" si="39"/>
        <v>1.1025839</v>
      </c>
      <c r="H149" s="328">
        <f>F149*G149</f>
        <v>381750507.08999997</v>
      </c>
      <c r="I149" s="498">
        <f t="shared" si="18"/>
        <v>1.0645064</v>
      </c>
      <c r="J149" s="328">
        <f>H149*I149</f>
        <v>406375858</v>
      </c>
      <c r="K149" s="334">
        <f t="shared" si="45"/>
        <v>398988252.73000002</v>
      </c>
      <c r="L149" s="328"/>
      <c r="N149" s="515"/>
    </row>
    <row r="150" spans="1:14" s="145" customFormat="1" hidden="1" outlineLevel="1" x14ac:dyDescent="0.2">
      <c r="A150" s="356" t="s">
        <v>937</v>
      </c>
      <c r="B150" s="357" t="s">
        <v>319</v>
      </c>
      <c r="C150" s="357" t="s">
        <v>320</v>
      </c>
      <c r="D150" s="358" t="s">
        <v>704</v>
      </c>
      <c r="E150" s="359">
        <v>1</v>
      </c>
      <c r="F150" s="360">
        <f>SUM(F151:F153)</f>
        <v>6977679.0899999999</v>
      </c>
      <c r="G150" s="476">
        <f t="shared" si="39"/>
        <v>1.1025839</v>
      </c>
      <c r="H150" s="360">
        <f>F150*G150</f>
        <v>7693476.6200000001</v>
      </c>
      <c r="I150" s="498">
        <f t="shared" si="18"/>
        <v>1.0645064</v>
      </c>
      <c r="J150" s="360">
        <f>H150*I150</f>
        <v>8189755.0999999996</v>
      </c>
      <c r="K150" s="365">
        <f t="shared" si="45"/>
        <v>8040871.5599999996</v>
      </c>
      <c r="L150" s="360"/>
      <c r="N150" s="515"/>
    </row>
    <row r="151" spans="1:14" s="145" customFormat="1" hidden="1" outlineLevel="1" x14ac:dyDescent="0.2">
      <c r="A151" s="354" t="s">
        <v>956</v>
      </c>
      <c r="B151" s="355"/>
      <c r="C151" s="355" t="s">
        <v>374</v>
      </c>
      <c r="D151" s="336" t="s">
        <v>704</v>
      </c>
      <c r="E151" s="337">
        <v>1</v>
      </c>
      <c r="F151" s="338">
        <f>'Затраты подрядчика'!O166</f>
        <v>550687.21</v>
      </c>
      <c r="G151" s="476">
        <f t="shared" si="39"/>
        <v>1.1025839</v>
      </c>
      <c r="H151" s="481">
        <f>F151*G151-0.01</f>
        <v>607178.84</v>
      </c>
      <c r="I151" s="498">
        <f t="shared" si="18"/>
        <v>1.0645064</v>
      </c>
      <c r="J151" s="499">
        <f>H151*I151+0.01</f>
        <v>646345.77</v>
      </c>
      <c r="K151" s="341">
        <f t="shared" ref="K151" si="46">H151+(J151-H151)*(1-30/100)</f>
        <v>634595.68999999994</v>
      </c>
      <c r="L151" s="338"/>
      <c r="N151" s="515"/>
    </row>
    <row r="152" spans="1:14" s="145" customFormat="1" hidden="1" outlineLevel="1" x14ac:dyDescent="0.2">
      <c r="A152" s="354" t="s">
        <v>957</v>
      </c>
      <c r="B152" s="355"/>
      <c r="C152" s="355" t="s">
        <v>472</v>
      </c>
      <c r="D152" s="336" t="s">
        <v>704</v>
      </c>
      <c r="E152" s="337">
        <v>1</v>
      </c>
      <c r="F152" s="338">
        <f>'Затраты подрядчика'!O167</f>
        <v>6422988.0999999996</v>
      </c>
      <c r="G152" s="476">
        <f t="shared" si="39"/>
        <v>1.1025839</v>
      </c>
      <c r="H152" s="339">
        <f t="shared" ref="H152:H153" si="47">F152*G152</f>
        <v>7081883.2699999996</v>
      </c>
      <c r="I152" s="498">
        <f t="shared" si="18"/>
        <v>1.0645064</v>
      </c>
      <c r="J152" s="340">
        <f t="shared" ref="J152:J153" si="48">H152*I152</f>
        <v>7538710.0599999996</v>
      </c>
      <c r="K152" s="341">
        <f t="shared" ref="K152:K154" si="49">H152+(J152-H152)*(1-30/100)</f>
        <v>7401662.0199999996</v>
      </c>
      <c r="L152" s="338"/>
      <c r="N152" s="515"/>
    </row>
    <row r="153" spans="1:14" s="145" customFormat="1" ht="47.25" hidden="1" outlineLevel="1" x14ac:dyDescent="0.2">
      <c r="A153" s="354" t="s">
        <v>958</v>
      </c>
      <c r="B153" s="355" t="s">
        <v>334</v>
      </c>
      <c r="C153" s="355" t="s">
        <v>492</v>
      </c>
      <c r="D153" s="336" t="s">
        <v>704</v>
      </c>
      <c r="E153" s="337">
        <v>1</v>
      </c>
      <c r="F153" s="338">
        <f>'Затраты подрядчика'!O168</f>
        <v>4003.78</v>
      </c>
      <c r="G153" s="476">
        <f t="shared" si="39"/>
        <v>1.1025839</v>
      </c>
      <c r="H153" s="339">
        <f t="shared" si="47"/>
        <v>4414.5</v>
      </c>
      <c r="I153" s="498">
        <f t="shared" si="18"/>
        <v>1.0645064</v>
      </c>
      <c r="J153" s="340">
        <f t="shared" si="48"/>
        <v>4699.26</v>
      </c>
      <c r="K153" s="341">
        <f t="shared" si="49"/>
        <v>4613.83</v>
      </c>
      <c r="L153" s="338"/>
      <c r="N153" s="515"/>
    </row>
    <row r="154" spans="1:14" s="145" customFormat="1" hidden="1" outlineLevel="1" x14ac:dyDescent="0.2">
      <c r="A154" s="356" t="s">
        <v>938</v>
      </c>
      <c r="B154" s="357" t="s">
        <v>323</v>
      </c>
      <c r="C154" s="357" t="s">
        <v>324</v>
      </c>
      <c r="D154" s="358" t="s">
        <v>704</v>
      </c>
      <c r="E154" s="359">
        <v>1</v>
      </c>
      <c r="F154" s="360">
        <f>SUM(F155:F157)</f>
        <v>461769.82</v>
      </c>
      <c r="G154" s="476">
        <f t="shared" si="39"/>
        <v>1.1025839</v>
      </c>
      <c r="H154" s="360">
        <f>F154*G154</f>
        <v>509139.97</v>
      </c>
      <c r="I154" s="498">
        <f t="shared" si="18"/>
        <v>1.0645064</v>
      </c>
      <c r="J154" s="360">
        <f>H154*I154</f>
        <v>541982.76</v>
      </c>
      <c r="K154" s="365">
        <f t="shared" si="49"/>
        <v>532129.92000000004</v>
      </c>
      <c r="L154" s="360"/>
      <c r="N154" s="515"/>
    </row>
    <row r="155" spans="1:14" s="145" customFormat="1" hidden="1" outlineLevel="1" x14ac:dyDescent="0.2">
      <c r="A155" s="354" t="s">
        <v>959</v>
      </c>
      <c r="B155" s="355"/>
      <c r="C155" s="355" t="s">
        <v>374</v>
      </c>
      <c r="D155" s="336" t="s">
        <v>704</v>
      </c>
      <c r="E155" s="337">
        <v>1</v>
      </c>
      <c r="F155" s="338">
        <f>'Затраты подрядчика'!O170</f>
        <v>153144.76</v>
      </c>
      <c r="G155" s="476">
        <f t="shared" si="39"/>
        <v>1.1025839</v>
      </c>
      <c r="H155" s="481">
        <f>F155*G155-0.01</f>
        <v>168854.94</v>
      </c>
      <c r="I155" s="498">
        <f t="shared" si="18"/>
        <v>1.0645064</v>
      </c>
      <c r="J155" s="499">
        <f>H155*I155-0.01</f>
        <v>179747.15</v>
      </c>
      <c r="K155" s="341">
        <f t="shared" ref="K155:K158" si="50">H155+(J155-H155)*(1-30/100)</f>
        <v>176479.49</v>
      </c>
      <c r="L155" s="338"/>
      <c r="N155" s="515"/>
    </row>
    <row r="156" spans="1:14" s="145" customFormat="1" hidden="1" outlineLevel="1" x14ac:dyDescent="0.2">
      <c r="A156" s="354" t="s">
        <v>960</v>
      </c>
      <c r="B156" s="355"/>
      <c r="C156" s="355" t="s">
        <v>476</v>
      </c>
      <c r="D156" s="336" t="s">
        <v>704</v>
      </c>
      <c r="E156" s="337">
        <v>1</v>
      </c>
      <c r="F156" s="338">
        <f>'Затраты подрядчика'!O171</f>
        <v>297781.48</v>
      </c>
      <c r="G156" s="476">
        <f t="shared" si="39"/>
        <v>1.1025839</v>
      </c>
      <c r="H156" s="339">
        <f t="shared" ref="H156:H157" si="51">F156*G156</f>
        <v>328329.07</v>
      </c>
      <c r="I156" s="498">
        <f t="shared" si="18"/>
        <v>1.0645064</v>
      </c>
      <c r="J156" s="340">
        <f t="shared" ref="J156:J157" si="52">H156*I156</f>
        <v>349508.4</v>
      </c>
      <c r="K156" s="341">
        <f t="shared" si="50"/>
        <v>343154.6</v>
      </c>
      <c r="L156" s="338"/>
      <c r="N156" s="515"/>
    </row>
    <row r="157" spans="1:14" s="145" customFormat="1" ht="47.25" hidden="1" outlineLevel="1" x14ac:dyDescent="0.2">
      <c r="A157" s="354" t="s">
        <v>961</v>
      </c>
      <c r="B157" s="355" t="s">
        <v>334</v>
      </c>
      <c r="C157" s="355" t="s">
        <v>494</v>
      </c>
      <c r="D157" s="336" t="s">
        <v>704</v>
      </c>
      <c r="E157" s="337">
        <v>1</v>
      </c>
      <c r="F157" s="338">
        <f>'Затраты подрядчика'!O172</f>
        <v>10843.58</v>
      </c>
      <c r="G157" s="476">
        <f t="shared" si="39"/>
        <v>1.1025839</v>
      </c>
      <c r="H157" s="339">
        <f t="shared" si="51"/>
        <v>11955.96</v>
      </c>
      <c r="I157" s="498">
        <f t="shared" si="18"/>
        <v>1.0645064</v>
      </c>
      <c r="J157" s="340">
        <f t="shared" si="52"/>
        <v>12727.2</v>
      </c>
      <c r="K157" s="341">
        <f t="shared" si="50"/>
        <v>12495.83</v>
      </c>
      <c r="L157" s="338"/>
      <c r="N157" s="515"/>
    </row>
    <row r="158" spans="1:14" s="145" customFormat="1" hidden="1" outlineLevel="1" x14ac:dyDescent="0.2">
      <c r="A158" s="356" t="s">
        <v>939</v>
      </c>
      <c r="B158" s="357" t="s">
        <v>325</v>
      </c>
      <c r="C158" s="357" t="s">
        <v>326</v>
      </c>
      <c r="D158" s="358" t="s">
        <v>704</v>
      </c>
      <c r="E158" s="359">
        <v>1</v>
      </c>
      <c r="F158" s="360">
        <f>SUM(F159:F161)</f>
        <v>27854579.98</v>
      </c>
      <c r="G158" s="476">
        <f t="shared" si="39"/>
        <v>1.1025839</v>
      </c>
      <c r="H158" s="360">
        <f>F158*G158</f>
        <v>30712011.43</v>
      </c>
      <c r="I158" s="498">
        <f t="shared" si="18"/>
        <v>1.0645064</v>
      </c>
      <c r="J158" s="360">
        <f>H158*I158</f>
        <v>32693132.719999999</v>
      </c>
      <c r="K158" s="365">
        <f t="shared" si="50"/>
        <v>32098796.329999998</v>
      </c>
      <c r="L158" s="360"/>
      <c r="N158" s="515"/>
    </row>
    <row r="159" spans="1:14" s="145" customFormat="1" ht="31.5" hidden="1" outlineLevel="1" x14ac:dyDescent="0.2">
      <c r="A159" s="354" t="s">
        <v>962</v>
      </c>
      <c r="B159" s="355"/>
      <c r="C159" s="355" t="s">
        <v>477</v>
      </c>
      <c r="D159" s="336" t="s">
        <v>704</v>
      </c>
      <c r="E159" s="337">
        <v>1</v>
      </c>
      <c r="F159" s="338">
        <f>'Затраты подрядчика'!O174</f>
        <v>11596044.68</v>
      </c>
      <c r="G159" s="476">
        <f t="shared" si="39"/>
        <v>1.1025839</v>
      </c>
      <c r="H159" s="339">
        <f t="shared" ref="H159:H161" si="53">F159*G159</f>
        <v>12785612.17</v>
      </c>
      <c r="I159" s="498">
        <f t="shared" ref="I159:I190" si="54">$F$348</f>
        <v>1.0645064</v>
      </c>
      <c r="J159" s="340">
        <f t="shared" ref="J159:J161" si="55">H159*I159</f>
        <v>13610365.98</v>
      </c>
      <c r="K159" s="341">
        <f t="shared" ref="K159:K161" si="56">H159+(J159-H159)*(1-30/100)</f>
        <v>13362939.84</v>
      </c>
      <c r="L159" s="338"/>
      <c r="N159" s="515"/>
    </row>
    <row r="160" spans="1:14" s="145" customFormat="1" ht="31.5" hidden="1" outlineLevel="1" x14ac:dyDescent="0.2">
      <c r="A160" s="354" t="s">
        <v>963</v>
      </c>
      <c r="B160" s="355"/>
      <c r="C160" s="355" t="s">
        <v>478</v>
      </c>
      <c r="D160" s="336" t="s">
        <v>704</v>
      </c>
      <c r="E160" s="337">
        <v>1</v>
      </c>
      <c r="F160" s="338">
        <f>'Затраты подрядчика'!O175</f>
        <v>14784391.84</v>
      </c>
      <c r="G160" s="476">
        <f t="shared" si="39"/>
        <v>1.1025839</v>
      </c>
      <c r="H160" s="339">
        <f t="shared" si="53"/>
        <v>16301032.41</v>
      </c>
      <c r="I160" s="498">
        <f t="shared" si="54"/>
        <v>1.0645064</v>
      </c>
      <c r="J160" s="340">
        <f t="shared" si="55"/>
        <v>17352553.329999998</v>
      </c>
      <c r="K160" s="341">
        <f t="shared" si="56"/>
        <v>17037097.050000001</v>
      </c>
      <c r="L160" s="338"/>
      <c r="N160" s="515"/>
    </row>
    <row r="161" spans="1:14" s="145" customFormat="1" ht="47.25" hidden="1" outlineLevel="1" x14ac:dyDescent="0.2">
      <c r="A161" s="354" t="s">
        <v>964</v>
      </c>
      <c r="B161" s="355"/>
      <c r="C161" s="355" t="s">
        <v>495</v>
      </c>
      <c r="D161" s="336" t="s">
        <v>704</v>
      </c>
      <c r="E161" s="337">
        <v>1</v>
      </c>
      <c r="F161" s="338">
        <f>'Затраты подрядчика'!O176</f>
        <v>1474143.46</v>
      </c>
      <c r="G161" s="476">
        <f t="shared" si="39"/>
        <v>1.1025839</v>
      </c>
      <c r="H161" s="339">
        <f t="shared" si="53"/>
        <v>1625366.85</v>
      </c>
      <c r="I161" s="498">
        <f t="shared" si="54"/>
        <v>1.0645064</v>
      </c>
      <c r="J161" s="340">
        <f t="shared" si="55"/>
        <v>1730213.41</v>
      </c>
      <c r="K161" s="341">
        <f t="shared" si="56"/>
        <v>1698759.44</v>
      </c>
      <c r="L161" s="338"/>
      <c r="N161" s="515"/>
    </row>
    <row r="162" spans="1:14" s="145" customFormat="1" hidden="1" outlineLevel="1" x14ac:dyDescent="0.2">
      <c r="A162" s="356" t="s">
        <v>965</v>
      </c>
      <c r="B162" s="357" t="s">
        <v>327</v>
      </c>
      <c r="C162" s="357" t="s">
        <v>328</v>
      </c>
      <c r="D162" s="358" t="s">
        <v>704</v>
      </c>
      <c r="E162" s="359">
        <v>1</v>
      </c>
      <c r="F162" s="360">
        <f>SUM(F163:F172)</f>
        <v>306256910.80000001</v>
      </c>
      <c r="G162" s="476">
        <f t="shared" si="39"/>
        <v>1.1025839</v>
      </c>
      <c r="H162" s="360">
        <f>F162*G162</f>
        <v>337673939.11000001</v>
      </c>
      <c r="I162" s="498">
        <f t="shared" si="54"/>
        <v>1.0645064</v>
      </c>
      <c r="J162" s="360">
        <f>H162*I162</f>
        <v>359456069.30000001</v>
      </c>
      <c r="K162" s="502">
        <f>H162+(J162-H162)*(1-30/100)-0.01</f>
        <v>352921430.23000002</v>
      </c>
      <c r="L162" s="360"/>
      <c r="N162" s="515"/>
    </row>
    <row r="163" spans="1:14" s="145" customFormat="1" hidden="1" outlineLevel="1" x14ac:dyDescent="0.2">
      <c r="A163" s="354" t="s">
        <v>966</v>
      </c>
      <c r="B163" s="355"/>
      <c r="C163" s="355" t="s">
        <v>479</v>
      </c>
      <c r="D163" s="336" t="s">
        <v>704</v>
      </c>
      <c r="E163" s="337">
        <v>1</v>
      </c>
      <c r="F163" s="338">
        <f>'Затраты подрядчика'!O178</f>
        <v>52261901.380000003</v>
      </c>
      <c r="G163" s="476">
        <f t="shared" si="39"/>
        <v>1.1025839</v>
      </c>
      <c r="H163" s="339">
        <f t="shared" ref="H163:H165" si="57">F163*G163</f>
        <v>57623131.039999999</v>
      </c>
      <c r="I163" s="498">
        <f t="shared" si="54"/>
        <v>1.0645064</v>
      </c>
      <c r="J163" s="499">
        <f>H163*I163+0.01</f>
        <v>61340191.789999999</v>
      </c>
      <c r="K163" s="341">
        <f>H163+(J163-H163)*(1-30/100)</f>
        <v>60225073.57</v>
      </c>
      <c r="L163" s="338"/>
      <c r="N163" s="515"/>
    </row>
    <row r="164" spans="1:14" s="145" customFormat="1" hidden="1" outlineLevel="1" x14ac:dyDescent="0.2">
      <c r="A164" s="354" t="s">
        <v>967</v>
      </c>
      <c r="B164" s="355"/>
      <c r="C164" s="355" t="s">
        <v>480</v>
      </c>
      <c r="D164" s="336" t="s">
        <v>704</v>
      </c>
      <c r="E164" s="337">
        <v>1</v>
      </c>
      <c r="F164" s="338">
        <f>'Затраты подрядчика'!O179</f>
        <v>32780486.27</v>
      </c>
      <c r="G164" s="476">
        <f t="shared" si="39"/>
        <v>1.1025839</v>
      </c>
      <c r="H164" s="339">
        <f t="shared" si="57"/>
        <v>36143236.399999999</v>
      </c>
      <c r="I164" s="498">
        <f t="shared" si="54"/>
        <v>1.0645064</v>
      </c>
      <c r="J164" s="340">
        <f t="shared" ref="J164:J165" si="58">H164*I164</f>
        <v>38474706.460000001</v>
      </c>
      <c r="K164" s="341">
        <f t="shared" ref="K164:K165" si="59">H164+(J164-H164)*(1-30/100)</f>
        <v>37775265.439999998</v>
      </c>
      <c r="L164" s="362"/>
      <c r="N164" s="515"/>
    </row>
    <row r="165" spans="1:14" s="145" customFormat="1" hidden="1" outlineLevel="1" x14ac:dyDescent="0.2">
      <c r="A165" s="354" t="s">
        <v>968</v>
      </c>
      <c r="B165" s="355"/>
      <c r="C165" s="355" t="s">
        <v>485</v>
      </c>
      <c r="D165" s="336" t="s">
        <v>704</v>
      </c>
      <c r="E165" s="337">
        <v>1</v>
      </c>
      <c r="F165" s="338">
        <f>'Затраты подрядчика'!O180</f>
        <v>20056375.27</v>
      </c>
      <c r="G165" s="476">
        <f t="shared" si="39"/>
        <v>1.1025839</v>
      </c>
      <c r="H165" s="339">
        <f t="shared" si="57"/>
        <v>22113836.469999999</v>
      </c>
      <c r="I165" s="498">
        <f t="shared" si="54"/>
        <v>1.0645064</v>
      </c>
      <c r="J165" s="340">
        <f t="shared" si="58"/>
        <v>23540320.449999999</v>
      </c>
      <c r="K165" s="341">
        <f t="shared" si="59"/>
        <v>23112375.260000002</v>
      </c>
      <c r="L165" s="362"/>
      <c r="N165" s="515"/>
    </row>
    <row r="166" spans="1:14" s="145" customFormat="1" hidden="1" outlineLevel="1" x14ac:dyDescent="0.2">
      <c r="A166" s="354" t="s">
        <v>969</v>
      </c>
      <c r="B166" s="355"/>
      <c r="C166" s="355" t="s">
        <v>486</v>
      </c>
      <c r="D166" s="336" t="s">
        <v>704</v>
      </c>
      <c r="E166" s="337">
        <v>1</v>
      </c>
      <c r="F166" s="338">
        <f>'Затраты подрядчика'!O181</f>
        <v>22892389.390000001</v>
      </c>
      <c r="G166" s="476">
        <f t="shared" si="39"/>
        <v>1.1025839</v>
      </c>
      <c r="H166" s="339">
        <f t="shared" ref="H166:H171" si="60">F166*G166</f>
        <v>25240779.969999999</v>
      </c>
      <c r="I166" s="498">
        <f t="shared" si="54"/>
        <v>1.0645064</v>
      </c>
      <c r="J166" s="340">
        <f t="shared" ref="J166:J171" si="61">H166*I166</f>
        <v>26868971.82</v>
      </c>
      <c r="K166" s="341">
        <f t="shared" ref="K166:K171" si="62">H166+(J166-H166)*(1-30/100)</f>
        <v>26380514.27</v>
      </c>
      <c r="L166" s="362"/>
      <c r="N166" s="515"/>
    </row>
    <row r="167" spans="1:14" s="145" customFormat="1" hidden="1" outlineLevel="1" x14ac:dyDescent="0.2">
      <c r="A167" s="354" t="s">
        <v>970</v>
      </c>
      <c r="B167" s="355"/>
      <c r="C167" s="355" t="s">
        <v>484</v>
      </c>
      <c r="D167" s="336" t="s">
        <v>704</v>
      </c>
      <c r="E167" s="337">
        <v>1</v>
      </c>
      <c r="F167" s="338">
        <f>'Затраты подрядчика'!O182</f>
        <v>39548383.729999997</v>
      </c>
      <c r="G167" s="476">
        <f t="shared" si="39"/>
        <v>1.1025839</v>
      </c>
      <c r="H167" s="339">
        <f t="shared" si="60"/>
        <v>43605411.170000002</v>
      </c>
      <c r="I167" s="498">
        <f t="shared" si="54"/>
        <v>1.0645064</v>
      </c>
      <c r="J167" s="340">
        <f t="shared" si="61"/>
        <v>46418239.270000003</v>
      </c>
      <c r="K167" s="341">
        <f t="shared" si="62"/>
        <v>45574390.840000004</v>
      </c>
      <c r="L167" s="362"/>
      <c r="N167" s="515"/>
    </row>
    <row r="168" spans="1:14" s="145" customFormat="1" hidden="1" outlineLevel="1" x14ac:dyDescent="0.2">
      <c r="A168" s="354" t="s">
        <v>971</v>
      </c>
      <c r="B168" s="355"/>
      <c r="C168" s="355" t="s">
        <v>481</v>
      </c>
      <c r="D168" s="336" t="s">
        <v>704</v>
      </c>
      <c r="E168" s="337">
        <v>1</v>
      </c>
      <c r="F168" s="338">
        <f>'Затраты подрядчика'!O183</f>
        <v>27683334.77</v>
      </c>
      <c r="G168" s="476">
        <f t="shared" si="39"/>
        <v>1.1025839</v>
      </c>
      <c r="H168" s="339">
        <f t="shared" si="60"/>
        <v>30523199.219999999</v>
      </c>
      <c r="I168" s="498">
        <f t="shared" si="54"/>
        <v>1.0645064</v>
      </c>
      <c r="J168" s="340">
        <f t="shared" si="61"/>
        <v>32492140.920000002</v>
      </c>
      <c r="K168" s="341">
        <f t="shared" si="62"/>
        <v>31901458.41</v>
      </c>
      <c r="L168" s="362"/>
      <c r="N168" s="515"/>
    </row>
    <row r="169" spans="1:14" s="145" customFormat="1" hidden="1" outlineLevel="1" x14ac:dyDescent="0.2">
      <c r="A169" s="354" t="s">
        <v>972</v>
      </c>
      <c r="B169" s="355"/>
      <c r="C169" s="355" t="s">
        <v>482</v>
      </c>
      <c r="D169" s="336" t="s">
        <v>704</v>
      </c>
      <c r="E169" s="337">
        <v>1</v>
      </c>
      <c r="F169" s="338">
        <f>'Затраты подрядчика'!O184</f>
        <v>33759995.5</v>
      </c>
      <c r="G169" s="476">
        <f t="shared" si="39"/>
        <v>1.1025839</v>
      </c>
      <c r="H169" s="339">
        <f t="shared" si="60"/>
        <v>37223227.5</v>
      </c>
      <c r="I169" s="498">
        <f t="shared" si="54"/>
        <v>1.0645064</v>
      </c>
      <c r="J169" s="340">
        <f t="shared" si="61"/>
        <v>39624363.899999999</v>
      </c>
      <c r="K169" s="341">
        <f t="shared" si="62"/>
        <v>38904022.979999997</v>
      </c>
      <c r="L169" s="362"/>
      <c r="N169" s="515"/>
    </row>
    <row r="170" spans="1:14" s="145" customFormat="1" hidden="1" outlineLevel="1" x14ac:dyDescent="0.2">
      <c r="A170" s="354" t="s">
        <v>973</v>
      </c>
      <c r="B170" s="355"/>
      <c r="C170" s="355" t="s">
        <v>483</v>
      </c>
      <c r="D170" s="336" t="s">
        <v>704</v>
      </c>
      <c r="E170" s="337">
        <v>1</v>
      </c>
      <c r="F170" s="338">
        <f>'Затраты подрядчика'!O185</f>
        <v>34870628.670000002</v>
      </c>
      <c r="G170" s="476">
        <f t="shared" si="39"/>
        <v>1.1025839</v>
      </c>
      <c r="H170" s="339">
        <f t="shared" si="60"/>
        <v>38447793.75</v>
      </c>
      <c r="I170" s="498">
        <f t="shared" si="54"/>
        <v>1.0645064</v>
      </c>
      <c r="J170" s="340">
        <f t="shared" si="61"/>
        <v>40927922.509999998</v>
      </c>
      <c r="K170" s="341">
        <f t="shared" si="62"/>
        <v>40183883.880000003</v>
      </c>
      <c r="L170" s="362"/>
      <c r="N170" s="515"/>
    </row>
    <row r="171" spans="1:14" s="145" customFormat="1" hidden="1" outlineLevel="1" x14ac:dyDescent="0.2">
      <c r="A171" s="354" t="s">
        <v>974</v>
      </c>
      <c r="B171" s="355"/>
      <c r="C171" s="355" t="s">
        <v>487</v>
      </c>
      <c r="D171" s="336" t="s">
        <v>704</v>
      </c>
      <c r="E171" s="337">
        <v>1</v>
      </c>
      <c r="F171" s="338">
        <f>'Затраты подрядчика'!O186</f>
        <v>40886148.270000003</v>
      </c>
      <c r="G171" s="476">
        <f t="shared" si="39"/>
        <v>1.1025839</v>
      </c>
      <c r="H171" s="339">
        <f t="shared" si="60"/>
        <v>45080408.82</v>
      </c>
      <c r="I171" s="498">
        <f t="shared" si="54"/>
        <v>1.0645064</v>
      </c>
      <c r="J171" s="340">
        <f t="shared" si="61"/>
        <v>47988383.700000003</v>
      </c>
      <c r="K171" s="341">
        <f t="shared" si="62"/>
        <v>47115991.240000002</v>
      </c>
      <c r="L171" s="362"/>
      <c r="N171" s="515"/>
    </row>
    <row r="172" spans="1:14" s="145" customFormat="1" ht="47.25" hidden="1" outlineLevel="1" x14ac:dyDescent="0.2">
      <c r="A172" s="354" t="s">
        <v>975</v>
      </c>
      <c r="B172" s="355" t="s">
        <v>334</v>
      </c>
      <c r="C172" s="355" t="s">
        <v>496</v>
      </c>
      <c r="D172" s="336" t="s">
        <v>704</v>
      </c>
      <c r="E172" s="337">
        <v>1</v>
      </c>
      <c r="F172" s="338">
        <f>'Затраты подрядчика'!O187</f>
        <v>1517267.55</v>
      </c>
      <c r="G172" s="476">
        <f t="shared" si="39"/>
        <v>1.1025839</v>
      </c>
      <c r="H172" s="339">
        <f t="shared" ref="H172" si="63">F172*G172</f>
        <v>1672914.77</v>
      </c>
      <c r="I172" s="498">
        <f t="shared" si="54"/>
        <v>1.0645064</v>
      </c>
      <c r="J172" s="340">
        <f t="shared" ref="J172" si="64">H172*I172</f>
        <v>1780828.48</v>
      </c>
      <c r="K172" s="341">
        <f t="shared" ref="K172:K173" si="65">H172+(J172-H172)*(1-30/100)</f>
        <v>1748454.37</v>
      </c>
      <c r="L172" s="362"/>
      <c r="N172" s="515"/>
    </row>
    <row r="173" spans="1:14" s="145" customFormat="1" ht="31.5" hidden="1" outlineLevel="1" x14ac:dyDescent="0.2">
      <c r="A173" s="356" t="s">
        <v>976</v>
      </c>
      <c r="B173" s="357"/>
      <c r="C173" s="357" t="s">
        <v>809</v>
      </c>
      <c r="D173" s="358" t="s">
        <v>704</v>
      </c>
      <c r="E173" s="359">
        <v>1</v>
      </c>
      <c r="F173" s="360">
        <f>SUM(F174:F175)</f>
        <v>4681675.43</v>
      </c>
      <c r="G173" s="476">
        <f t="shared" si="39"/>
        <v>1.1025839</v>
      </c>
      <c r="H173" s="360">
        <f>F173*G173</f>
        <v>5161939.95</v>
      </c>
      <c r="I173" s="498">
        <f t="shared" si="54"/>
        <v>1.0645064</v>
      </c>
      <c r="J173" s="360">
        <f>H173*I173</f>
        <v>5494918.1100000003</v>
      </c>
      <c r="K173" s="365">
        <f t="shared" si="65"/>
        <v>5395024.6600000001</v>
      </c>
      <c r="L173" s="360"/>
      <c r="N173" s="515"/>
    </row>
    <row r="174" spans="1:14" s="145" customFormat="1" ht="31.5" hidden="1" outlineLevel="1" x14ac:dyDescent="0.2">
      <c r="A174" s="354" t="s">
        <v>977</v>
      </c>
      <c r="B174" s="355" t="s">
        <v>329</v>
      </c>
      <c r="C174" s="355" t="s">
        <v>809</v>
      </c>
      <c r="D174" s="336" t="s">
        <v>704</v>
      </c>
      <c r="E174" s="337">
        <v>1</v>
      </c>
      <c r="F174" s="338">
        <f>'Затраты подрядчика'!O189</f>
        <v>4679423.3</v>
      </c>
      <c r="G174" s="476">
        <f t="shared" si="39"/>
        <v>1.1025839</v>
      </c>
      <c r="H174" s="339">
        <f t="shared" ref="H174:H175" si="66">F174*G174</f>
        <v>5159456.79</v>
      </c>
      <c r="I174" s="498">
        <f t="shared" si="54"/>
        <v>1.0645064</v>
      </c>
      <c r="J174" s="340">
        <f t="shared" ref="J174:J175" si="67">H174*I174</f>
        <v>5492274.7699999996</v>
      </c>
      <c r="K174" s="341">
        <f t="shared" ref="K174:K176" si="68">H174+(J174-H174)*(1-30/100)</f>
        <v>5392429.3799999999</v>
      </c>
      <c r="L174" s="362"/>
      <c r="N174" s="515"/>
    </row>
    <row r="175" spans="1:14" s="145" customFormat="1" ht="47.25" hidden="1" outlineLevel="1" x14ac:dyDescent="0.2">
      <c r="A175" s="354" t="s">
        <v>978</v>
      </c>
      <c r="B175" s="355" t="s">
        <v>334</v>
      </c>
      <c r="C175" s="355" t="s">
        <v>497</v>
      </c>
      <c r="D175" s="336" t="s">
        <v>704</v>
      </c>
      <c r="E175" s="337">
        <v>1</v>
      </c>
      <c r="F175" s="338">
        <f>'Затраты подрядчика'!O190</f>
        <v>2252.13</v>
      </c>
      <c r="G175" s="476">
        <f t="shared" si="39"/>
        <v>1.1025839</v>
      </c>
      <c r="H175" s="339">
        <f t="shared" si="66"/>
        <v>2483.16</v>
      </c>
      <c r="I175" s="498">
        <f t="shared" si="54"/>
        <v>1.0645064</v>
      </c>
      <c r="J175" s="340">
        <f t="shared" si="67"/>
        <v>2643.34</v>
      </c>
      <c r="K175" s="341">
        <f t="shared" si="68"/>
        <v>2595.29</v>
      </c>
      <c r="L175" s="362"/>
      <c r="M175" s="482"/>
      <c r="N175" s="515"/>
    </row>
    <row r="176" spans="1:14" ht="63" collapsed="1" x14ac:dyDescent="0.2">
      <c r="A176" s="404" t="s">
        <v>676</v>
      </c>
      <c r="B176" s="349" t="s">
        <v>1055</v>
      </c>
      <c r="C176" s="349" t="s">
        <v>1007</v>
      </c>
      <c r="D176" s="329" t="s">
        <v>704</v>
      </c>
      <c r="E176" s="330">
        <v>1</v>
      </c>
      <c r="F176" s="328">
        <f>F177+F180+F184+F189</f>
        <v>64480617.979999997</v>
      </c>
      <c r="G176" s="476">
        <f t="shared" si="39"/>
        <v>1.1025839</v>
      </c>
      <c r="H176" s="328">
        <f>F176*G176</f>
        <v>71095291.25</v>
      </c>
      <c r="I176" s="498">
        <f t="shared" si="54"/>
        <v>1.0645064</v>
      </c>
      <c r="J176" s="328">
        <f>H176*I176</f>
        <v>75681392.549999997</v>
      </c>
      <c r="K176" s="334">
        <f t="shared" si="68"/>
        <v>74305562.159999996</v>
      </c>
      <c r="L176" s="328"/>
      <c r="N176" s="515"/>
    </row>
    <row r="177" spans="1:14" s="145" customFormat="1" ht="31.5" hidden="1" outlineLevel="1" x14ac:dyDescent="0.2">
      <c r="A177" s="357" t="s">
        <v>979</v>
      </c>
      <c r="B177" s="357"/>
      <c r="C177" s="357" t="s">
        <v>810</v>
      </c>
      <c r="D177" s="358" t="s">
        <v>704</v>
      </c>
      <c r="E177" s="359">
        <v>1</v>
      </c>
      <c r="F177" s="360">
        <f>SUM(F178:F179)</f>
        <v>4190627.92</v>
      </c>
      <c r="G177" s="476">
        <f t="shared" si="39"/>
        <v>1.1025839</v>
      </c>
      <c r="H177" s="360">
        <f>F177*G177</f>
        <v>4620518.88</v>
      </c>
      <c r="I177" s="498">
        <f t="shared" si="54"/>
        <v>1.0645064</v>
      </c>
      <c r="J177" s="360">
        <f>H177*I177</f>
        <v>4918571.92</v>
      </c>
      <c r="K177" s="502">
        <f>H177+(J177-H177)*(1-30/100)-0.01</f>
        <v>4829156</v>
      </c>
      <c r="L177" s="360"/>
      <c r="N177" s="515"/>
    </row>
    <row r="178" spans="1:14" s="145" customFormat="1" ht="31.5" hidden="1" outlineLevel="1" x14ac:dyDescent="0.2">
      <c r="A178" s="355" t="s">
        <v>980</v>
      </c>
      <c r="B178" s="355" t="s">
        <v>329</v>
      </c>
      <c r="C178" s="355" t="s">
        <v>810</v>
      </c>
      <c r="D178" s="366" t="s">
        <v>704</v>
      </c>
      <c r="E178" s="367">
        <v>1</v>
      </c>
      <c r="F178" s="338">
        <f>'Затраты подрядчика'!O193</f>
        <v>4188626.03</v>
      </c>
      <c r="G178" s="476">
        <f t="shared" si="39"/>
        <v>1.1025839</v>
      </c>
      <c r="H178" s="339">
        <f t="shared" ref="H178:H179" si="69">F178*G178</f>
        <v>4618311.62</v>
      </c>
      <c r="I178" s="498">
        <f t="shared" si="54"/>
        <v>1.0645064</v>
      </c>
      <c r="J178" s="340">
        <f t="shared" ref="J178:J179" si="70">H178*I178</f>
        <v>4916222.28</v>
      </c>
      <c r="K178" s="502">
        <f>H178+(J178-H178)*(1-30/100)-0.01</f>
        <v>4826849.07</v>
      </c>
      <c r="L178" s="338"/>
      <c r="N178" s="515"/>
    </row>
    <row r="179" spans="1:14" s="145" customFormat="1" ht="47.25" hidden="1" outlineLevel="1" x14ac:dyDescent="0.2">
      <c r="A179" s="355" t="s">
        <v>981</v>
      </c>
      <c r="B179" s="355" t="s">
        <v>334</v>
      </c>
      <c r="C179" s="355" t="s">
        <v>497</v>
      </c>
      <c r="D179" s="366" t="s">
        <v>704</v>
      </c>
      <c r="E179" s="367">
        <v>1</v>
      </c>
      <c r="F179" s="338">
        <f>'Затраты подрядчика'!O194</f>
        <v>2001.89</v>
      </c>
      <c r="G179" s="476">
        <f t="shared" si="39"/>
        <v>1.1025839</v>
      </c>
      <c r="H179" s="339">
        <f t="shared" si="69"/>
        <v>2207.25</v>
      </c>
      <c r="I179" s="498">
        <f t="shared" si="54"/>
        <v>1.0645064</v>
      </c>
      <c r="J179" s="340">
        <f t="shared" si="70"/>
        <v>2349.63</v>
      </c>
      <c r="K179" s="341">
        <f t="shared" ref="K179:K180" si="71">H179+(J179-H179)*(1-30/100)</f>
        <v>2306.92</v>
      </c>
      <c r="L179" s="338"/>
      <c r="N179" s="515"/>
    </row>
    <row r="180" spans="1:14" s="145" customFormat="1" hidden="1" outlineLevel="1" x14ac:dyDescent="0.2">
      <c r="A180" s="357" t="s">
        <v>982</v>
      </c>
      <c r="B180" s="357" t="s">
        <v>330</v>
      </c>
      <c r="C180" s="357" t="s">
        <v>324</v>
      </c>
      <c r="D180" s="358" t="s">
        <v>704</v>
      </c>
      <c r="E180" s="359">
        <v>1</v>
      </c>
      <c r="F180" s="360">
        <f>SUM(F181:F183)</f>
        <v>1815215.86</v>
      </c>
      <c r="G180" s="476">
        <f t="shared" si="39"/>
        <v>1.1025839</v>
      </c>
      <c r="H180" s="360">
        <f>F180*G180</f>
        <v>2001427.78</v>
      </c>
      <c r="I180" s="498">
        <f t="shared" si="54"/>
        <v>1.0645064</v>
      </c>
      <c r="J180" s="360">
        <f>H180*I180</f>
        <v>2130532.6800000002</v>
      </c>
      <c r="K180" s="365">
        <f t="shared" si="71"/>
        <v>2091801.21</v>
      </c>
      <c r="L180" s="360"/>
      <c r="N180" s="515"/>
    </row>
    <row r="181" spans="1:14" s="145" customFormat="1" hidden="1" outlineLevel="1" x14ac:dyDescent="0.2">
      <c r="A181" s="355" t="s">
        <v>983</v>
      </c>
      <c r="B181" s="355"/>
      <c r="C181" s="355" t="s">
        <v>374</v>
      </c>
      <c r="D181" s="336" t="s">
        <v>704</v>
      </c>
      <c r="E181" s="337">
        <v>1</v>
      </c>
      <c r="F181" s="338">
        <f>'Затраты подрядчика'!O196</f>
        <v>1027804.88</v>
      </c>
      <c r="G181" s="476">
        <f t="shared" si="39"/>
        <v>1.1025839</v>
      </c>
      <c r="H181" s="339">
        <f t="shared" ref="H181:H183" si="72">F181*G181</f>
        <v>1133241.1100000001</v>
      </c>
      <c r="I181" s="498">
        <f t="shared" si="54"/>
        <v>1.0645064</v>
      </c>
      <c r="J181" s="340">
        <f t="shared" ref="J181:J183" si="73">H181*I181</f>
        <v>1206342.4099999999</v>
      </c>
      <c r="K181" s="341">
        <f t="shared" ref="K181:K184" si="74">H181+(J181-H181)*(1-30/100)</f>
        <v>1184412.02</v>
      </c>
      <c r="L181" s="338"/>
      <c r="N181" s="515"/>
    </row>
    <row r="182" spans="1:14" s="145" customFormat="1" hidden="1" outlineLevel="1" x14ac:dyDescent="0.2">
      <c r="A182" s="355" t="s">
        <v>984</v>
      </c>
      <c r="B182" s="355"/>
      <c r="C182" s="355" t="s">
        <v>476</v>
      </c>
      <c r="D182" s="336" t="s">
        <v>704</v>
      </c>
      <c r="E182" s="337">
        <v>1</v>
      </c>
      <c r="F182" s="338">
        <f>'Затраты подрядчика'!O197</f>
        <v>732859.41</v>
      </c>
      <c r="G182" s="476">
        <f t="shared" si="39"/>
        <v>1.1025839</v>
      </c>
      <c r="H182" s="339">
        <f t="shared" si="72"/>
        <v>808038.99</v>
      </c>
      <c r="I182" s="498">
        <f t="shared" si="54"/>
        <v>1.0645064</v>
      </c>
      <c r="J182" s="340">
        <f t="shared" si="73"/>
        <v>860162.68</v>
      </c>
      <c r="K182" s="341">
        <f t="shared" si="74"/>
        <v>844525.57</v>
      </c>
      <c r="L182" s="338"/>
      <c r="N182" s="515"/>
    </row>
    <row r="183" spans="1:14" s="145" customFormat="1" ht="47.25" hidden="1" outlineLevel="1" x14ac:dyDescent="0.2">
      <c r="A183" s="355" t="s">
        <v>985</v>
      </c>
      <c r="B183" s="355" t="s">
        <v>334</v>
      </c>
      <c r="C183" s="355" t="s">
        <v>498</v>
      </c>
      <c r="D183" s="336" t="s">
        <v>704</v>
      </c>
      <c r="E183" s="337">
        <v>1</v>
      </c>
      <c r="F183" s="338">
        <f>'Затраты подрядчика'!O198</f>
        <v>54551.57</v>
      </c>
      <c r="G183" s="476">
        <f t="shared" si="39"/>
        <v>1.1025839</v>
      </c>
      <c r="H183" s="339">
        <f t="shared" si="72"/>
        <v>60147.68</v>
      </c>
      <c r="I183" s="498">
        <f t="shared" si="54"/>
        <v>1.0645064</v>
      </c>
      <c r="J183" s="340">
        <f t="shared" si="73"/>
        <v>64027.59</v>
      </c>
      <c r="K183" s="341">
        <f t="shared" si="74"/>
        <v>62863.62</v>
      </c>
      <c r="L183" s="338"/>
      <c r="N183" s="515"/>
    </row>
    <row r="184" spans="1:14" s="145" customFormat="1" hidden="1" outlineLevel="1" x14ac:dyDescent="0.2">
      <c r="A184" s="357" t="s">
        <v>986</v>
      </c>
      <c r="B184" s="357" t="s">
        <v>331</v>
      </c>
      <c r="C184" s="357" t="s">
        <v>332</v>
      </c>
      <c r="D184" s="358" t="s">
        <v>704</v>
      </c>
      <c r="E184" s="359">
        <v>1</v>
      </c>
      <c r="F184" s="360">
        <f>SUM(F185:F188)</f>
        <v>40826008.090000004</v>
      </c>
      <c r="G184" s="476">
        <f t="shared" si="39"/>
        <v>1.1025839</v>
      </c>
      <c r="H184" s="360">
        <f>F184*G184</f>
        <v>45014099.219999999</v>
      </c>
      <c r="I184" s="498">
        <f t="shared" si="54"/>
        <v>1.0645064</v>
      </c>
      <c r="J184" s="360">
        <f>H184*I184</f>
        <v>47917796.710000001</v>
      </c>
      <c r="K184" s="365">
        <f t="shared" si="74"/>
        <v>47046687.460000001</v>
      </c>
      <c r="L184" s="360"/>
      <c r="N184" s="515"/>
    </row>
    <row r="185" spans="1:14" s="145" customFormat="1" ht="31.5" hidden="1" outlineLevel="1" x14ac:dyDescent="0.2">
      <c r="A185" s="355" t="s">
        <v>987</v>
      </c>
      <c r="B185" s="355"/>
      <c r="C185" s="355" t="s">
        <v>488</v>
      </c>
      <c r="D185" s="366" t="s">
        <v>704</v>
      </c>
      <c r="E185" s="367">
        <v>1</v>
      </c>
      <c r="F185" s="373">
        <f>'Затраты подрядчика'!O200</f>
        <v>8872637</v>
      </c>
      <c r="G185" s="476">
        <f t="shared" si="39"/>
        <v>1.1025839</v>
      </c>
      <c r="H185" s="368">
        <f t="shared" ref="H185:H188" si="75">F185*G185</f>
        <v>9782826.7100000009</v>
      </c>
      <c r="I185" s="498">
        <f t="shared" si="54"/>
        <v>1.0645064</v>
      </c>
      <c r="J185" s="500">
        <f>H185*I185-0.01</f>
        <v>10413881.630000001</v>
      </c>
      <c r="K185" s="503">
        <f>H185+(J185-H185)*(1-30/100)-0.01</f>
        <v>10224565.140000001</v>
      </c>
      <c r="L185" s="373"/>
      <c r="N185" s="515"/>
    </row>
    <row r="186" spans="1:14" s="145" customFormat="1" ht="31.5" hidden="1" outlineLevel="1" x14ac:dyDescent="0.2">
      <c r="A186" s="355" t="s">
        <v>988</v>
      </c>
      <c r="B186" s="355"/>
      <c r="C186" s="355" t="s">
        <v>489</v>
      </c>
      <c r="D186" s="366" t="s">
        <v>704</v>
      </c>
      <c r="E186" s="367">
        <v>1</v>
      </c>
      <c r="F186" s="373">
        <f>'Затраты подрядчика'!O201</f>
        <v>16225504.08</v>
      </c>
      <c r="G186" s="476">
        <f t="shared" si="39"/>
        <v>1.1025839</v>
      </c>
      <c r="H186" s="368">
        <f t="shared" si="75"/>
        <v>17889979.57</v>
      </c>
      <c r="I186" s="498">
        <f t="shared" si="54"/>
        <v>1.0645064</v>
      </c>
      <c r="J186" s="369">
        <f t="shared" ref="J186:J188" si="76">H186*I186</f>
        <v>19043997.75</v>
      </c>
      <c r="K186" s="370">
        <f t="shared" ref="K186:K189" si="77">H186+(J186-H186)*(1-30/100)</f>
        <v>18697792.300000001</v>
      </c>
      <c r="L186" s="373"/>
      <c r="N186" s="515"/>
    </row>
    <row r="187" spans="1:14" s="145" customFormat="1" ht="31.5" hidden="1" outlineLevel="1" x14ac:dyDescent="0.2">
      <c r="A187" s="355" t="s">
        <v>989</v>
      </c>
      <c r="B187" s="355"/>
      <c r="C187" s="355" t="s">
        <v>490</v>
      </c>
      <c r="D187" s="366" t="s">
        <v>704</v>
      </c>
      <c r="E187" s="367">
        <v>1</v>
      </c>
      <c r="F187" s="373">
        <f>'Затраты подрядчика'!O202</f>
        <v>13512522.92</v>
      </c>
      <c r="G187" s="476">
        <f t="shared" si="39"/>
        <v>1.1025839</v>
      </c>
      <c r="H187" s="368">
        <f t="shared" si="75"/>
        <v>14898690.220000001</v>
      </c>
      <c r="I187" s="498">
        <f t="shared" si="54"/>
        <v>1.0645064</v>
      </c>
      <c r="J187" s="369">
        <f t="shared" si="76"/>
        <v>15859751.09</v>
      </c>
      <c r="K187" s="370">
        <f t="shared" si="77"/>
        <v>15571432.83</v>
      </c>
      <c r="L187" s="373"/>
      <c r="N187" s="515"/>
    </row>
    <row r="188" spans="1:14" s="145" customFormat="1" ht="47.25" hidden="1" outlineLevel="1" x14ac:dyDescent="0.2">
      <c r="A188" s="355" t="s">
        <v>990</v>
      </c>
      <c r="B188" s="355"/>
      <c r="C188" s="355" t="s">
        <v>499</v>
      </c>
      <c r="D188" s="366" t="s">
        <v>704</v>
      </c>
      <c r="E188" s="367">
        <v>1</v>
      </c>
      <c r="F188" s="373">
        <f>'Затраты подрядчика'!O203</f>
        <v>2215344.09</v>
      </c>
      <c r="G188" s="476">
        <f t="shared" si="39"/>
        <v>1.1025839</v>
      </c>
      <c r="H188" s="368">
        <f t="shared" si="75"/>
        <v>2442602.73</v>
      </c>
      <c r="I188" s="498">
        <f t="shared" si="54"/>
        <v>1.0645064</v>
      </c>
      <c r="J188" s="369">
        <f t="shared" si="76"/>
        <v>2600166.2400000002</v>
      </c>
      <c r="K188" s="370">
        <f t="shared" si="77"/>
        <v>2552897.19</v>
      </c>
      <c r="L188" s="373"/>
      <c r="N188" s="515"/>
    </row>
    <row r="189" spans="1:14" s="145" customFormat="1" ht="31.5" hidden="1" outlineLevel="1" x14ac:dyDescent="0.2">
      <c r="A189" s="357" t="s">
        <v>991</v>
      </c>
      <c r="B189" s="357"/>
      <c r="C189" s="357" t="s">
        <v>862</v>
      </c>
      <c r="D189" s="358" t="s">
        <v>704</v>
      </c>
      <c r="E189" s="359">
        <v>1</v>
      </c>
      <c r="F189" s="360">
        <f>SUM(F190:F191)</f>
        <v>17648766.109999999</v>
      </c>
      <c r="G189" s="476">
        <f t="shared" si="39"/>
        <v>1.1025839</v>
      </c>
      <c r="H189" s="360">
        <f>F189*G189</f>
        <v>19459245.370000001</v>
      </c>
      <c r="I189" s="498">
        <f t="shared" si="54"/>
        <v>1.0645064</v>
      </c>
      <c r="J189" s="360">
        <f>H189*I189</f>
        <v>20714491.239999998</v>
      </c>
      <c r="K189" s="365">
        <f t="shared" si="77"/>
        <v>20337917.48</v>
      </c>
      <c r="L189" s="360"/>
      <c r="N189" s="515"/>
    </row>
    <row r="190" spans="1:14" s="145" customFormat="1" ht="31.5" hidden="1" outlineLevel="1" x14ac:dyDescent="0.2">
      <c r="A190" s="355" t="s">
        <v>992</v>
      </c>
      <c r="B190" s="355" t="s">
        <v>333</v>
      </c>
      <c r="C190" s="355" t="s">
        <v>862</v>
      </c>
      <c r="D190" s="366" t="s">
        <v>704</v>
      </c>
      <c r="E190" s="367">
        <v>1</v>
      </c>
      <c r="F190" s="373">
        <f>'Затраты подрядчика'!O205</f>
        <v>17558847.780000001</v>
      </c>
      <c r="G190" s="476">
        <f t="shared" si="39"/>
        <v>1.1025839</v>
      </c>
      <c r="H190" s="484">
        <f>F190*G190-0.01</f>
        <v>19360102.850000001</v>
      </c>
      <c r="I190" s="498">
        <f t="shared" si="54"/>
        <v>1.0645064</v>
      </c>
      <c r="J190" s="500">
        <f>H190*I190+0.01</f>
        <v>20608953.399999999</v>
      </c>
      <c r="K190" s="370">
        <f t="shared" ref="K190:K191" si="78">H190+(J190-H190)*(1-30/100)</f>
        <v>20234298.239999998</v>
      </c>
      <c r="L190" s="373"/>
      <c r="N190" s="515"/>
    </row>
    <row r="191" spans="1:14" s="145" customFormat="1" ht="47.25" hidden="1" outlineLevel="1" x14ac:dyDescent="0.2">
      <c r="A191" s="355" t="s">
        <v>993</v>
      </c>
      <c r="B191" s="355" t="s">
        <v>334</v>
      </c>
      <c r="C191" s="355" t="s">
        <v>500</v>
      </c>
      <c r="D191" s="366" t="s">
        <v>704</v>
      </c>
      <c r="E191" s="367">
        <v>1</v>
      </c>
      <c r="F191" s="373">
        <f>'Затраты подрядчика'!O206</f>
        <v>89918.33</v>
      </c>
      <c r="G191" s="476">
        <f t="shared" si="39"/>
        <v>1.1025839</v>
      </c>
      <c r="H191" s="368">
        <f t="shared" ref="H191" si="79">F191*G191</f>
        <v>99142.5</v>
      </c>
      <c r="I191" s="498">
        <f t="shared" ref="I191:I218" si="80">$F$348</f>
        <v>1.0645064</v>
      </c>
      <c r="J191" s="369">
        <f t="shared" ref="J191" si="81">H191*I191</f>
        <v>105537.83</v>
      </c>
      <c r="K191" s="370">
        <f t="shared" si="78"/>
        <v>103619.23</v>
      </c>
      <c r="L191" s="373"/>
      <c r="M191" s="482"/>
      <c r="N191" s="515"/>
    </row>
    <row r="192" spans="1:14" s="145" customFormat="1" collapsed="1" x14ac:dyDescent="0.2">
      <c r="A192" s="134" t="s">
        <v>677</v>
      </c>
      <c r="B192" s="347" t="s">
        <v>41</v>
      </c>
      <c r="C192" s="133" t="s">
        <v>42</v>
      </c>
      <c r="D192" s="319" t="s">
        <v>704</v>
      </c>
      <c r="E192" s="320">
        <v>1</v>
      </c>
      <c r="F192" s="150">
        <f>SUM(F193:F199)</f>
        <v>47897421.270000003</v>
      </c>
      <c r="G192" s="476">
        <f t="shared" si="39"/>
        <v>1.1025839</v>
      </c>
      <c r="H192" s="196">
        <f t="shared" ref="H192:H220" si="82">F192*G192</f>
        <v>52810925.539999999</v>
      </c>
      <c r="I192" s="498">
        <f t="shared" si="80"/>
        <v>1.0645064</v>
      </c>
      <c r="J192" s="180">
        <f t="shared" ref="J192:J221" si="83">H192*I192</f>
        <v>56217568.229999997</v>
      </c>
      <c r="K192" s="181">
        <f t="shared" ref="K192:K221" si="84">H192+(J192-H192)*(1-30/100)</f>
        <v>55195575.420000002</v>
      </c>
      <c r="L192" s="181">
        <f>'Затраты подрядчика'!M207*K192/F192</f>
        <v>15349463.310000001</v>
      </c>
      <c r="N192" s="515"/>
    </row>
    <row r="193" spans="1:14" ht="31.5" hidden="1" outlineLevel="1" x14ac:dyDescent="0.2">
      <c r="A193" s="326" t="s">
        <v>1115</v>
      </c>
      <c r="B193" s="346"/>
      <c r="C193" s="327" t="s">
        <v>505</v>
      </c>
      <c r="D193" s="329" t="s">
        <v>704</v>
      </c>
      <c r="E193" s="330">
        <v>1</v>
      </c>
      <c r="F193" s="328">
        <f>'Затраты подрядчика'!O208</f>
        <v>190096.36</v>
      </c>
      <c r="G193" s="476">
        <f t="shared" si="39"/>
        <v>1.1025839</v>
      </c>
      <c r="H193" s="481">
        <f>F193*G193-0.01</f>
        <v>209597.18</v>
      </c>
      <c r="I193" s="498">
        <f t="shared" si="80"/>
        <v>1.0645064</v>
      </c>
      <c r="J193" s="499">
        <f>H193*I193-0.01</f>
        <v>223117.53</v>
      </c>
      <c r="K193" s="502">
        <f>H193+(J193-H193)*(1-30/100)-0.01</f>
        <v>219061.42</v>
      </c>
      <c r="L193" s="334">
        <f>'Затраты подрядчика'!M208*K193/F193</f>
        <v>0</v>
      </c>
      <c r="N193" s="515"/>
    </row>
    <row r="194" spans="1:14" ht="31.5" hidden="1" outlineLevel="1" x14ac:dyDescent="0.2">
      <c r="A194" s="326" t="s">
        <v>1118</v>
      </c>
      <c r="B194" s="346"/>
      <c r="C194" s="327" t="s">
        <v>506</v>
      </c>
      <c r="D194" s="329" t="s">
        <v>704</v>
      </c>
      <c r="E194" s="330">
        <v>1</v>
      </c>
      <c r="F194" s="328">
        <f>'Затраты подрядчика'!O209</f>
        <v>45960.11</v>
      </c>
      <c r="G194" s="476">
        <f t="shared" si="39"/>
        <v>1.1025839</v>
      </c>
      <c r="H194" s="331">
        <f t="shared" si="82"/>
        <v>50674.879999999997</v>
      </c>
      <c r="I194" s="498">
        <f t="shared" si="80"/>
        <v>1.0645064</v>
      </c>
      <c r="J194" s="333">
        <f t="shared" si="83"/>
        <v>53943.73</v>
      </c>
      <c r="K194" s="334">
        <f t="shared" si="84"/>
        <v>52963.08</v>
      </c>
      <c r="L194" s="334">
        <f>'Затраты подрядчика'!M209*K194/F194</f>
        <v>0</v>
      </c>
      <c r="N194" s="515"/>
    </row>
    <row r="195" spans="1:14" ht="31.5" hidden="1" outlineLevel="1" x14ac:dyDescent="0.2">
      <c r="A195" s="326" t="s">
        <v>1119</v>
      </c>
      <c r="B195" s="346"/>
      <c r="C195" s="327" t="s">
        <v>507</v>
      </c>
      <c r="D195" s="329" t="s">
        <v>704</v>
      </c>
      <c r="E195" s="330">
        <v>1</v>
      </c>
      <c r="F195" s="328">
        <f>'Затраты подрядчика'!O210</f>
        <v>14586037.68</v>
      </c>
      <c r="G195" s="476">
        <f t="shared" si="39"/>
        <v>1.1025839</v>
      </c>
      <c r="H195" s="331">
        <f t="shared" si="82"/>
        <v>16082330.310000001</v>
      </c>
      <c r="I195" s="498">
        <f t="shared" si="80"/>
        <v>1.0645064</v>
      </c>
      <c r="J195" s="333">
        <f t="shared" si="83"/>
        <v>17119743.539999999</v>
      </c>
      <c r="K195" s="334">
        <f t="shared" si="84"/>
        <v>16808519.57</v>
      </c>
      <c r="L195" s="334">
        <f>'Затраты подрядчика'!M210*K195/F195</f>
        <v>0</v>
      </c>
      <c r="N195" s="515"/>
    </row>
    <row r="196" spans="1:14" ht="26.25" hidden="1" customHeight="1" outlineLevel="1" x14ac:dyDescent="0.2">
      <c r="A196" s="326" t="s">
        <v>1120</v>
      </c>
      <c r="B196" s="346"/>
      <c r="C196" s="327" t="s">
        <v>508</v>
      </c>
      <c r="D196" s="329" t="s">
        <v>704</v>
      </c>
      <c r="E196" s="330">
        <v>1</v>
      </c>
      <c r="F196" s="328">
        <f>'Затраты подрядчика'!O211</f>
        <v>3263918.6</v>
      </c>
      <c r="G196" s="476">
        <f t="shared" si="39"/>
        <v>1.1025839</v>
      </c>
      <c r="H196" s="331">
        <f t="shared" si="82"/>
        <v>3598744.1</v>
      </c>
      <c r="I196" s="498">
        <f t="shared" si="80"/>
        <v>1.0645064</v>
      </c>
      <c r="J196" s="333">
        <f t="shared" si="83"/>
        <v>3830886.13</v>
      </c>
      <c r="K196" s="334">
        <f t="shared" si="84"/>
        <v>3761243.52</v>
      </c>
      <c r="L196" s="334">
        <f>'Затраты подрядчика'!M211*K196/F196</f>
        <v>0</v>
      </c>
      <c r="N196" s="515"/>
    </row>
    <row r="197" spans="1:14" ht="12.75" hidden="1" customHeight="1" outlineLevel="1" x14ac:dyDescent="0.2">
      <c r="A197" s="326" t="s">
        <v>1121</v>
      </c>
      <c r="B197" s="346"/>
      <c r="C197" s="327" t="s">
        <v>512</v>
      </c>
      <c r="D197" s="329" t="s">
        <v>704</v>
      </c>
      <c r="E197" s="330">
        <v>1</v>
      </c>
      <c r="F197" s="328">
        <f>'Затраты подрядчика'!O212</f>
        <v>9729947.3800000008</v>
      </c>
      <c r="G197" s="476">
        <f t="shared" si="39"/>
        <v>1.1025839</v>
      </c>
      <c r="H197" s="331">
        <f t="shared" si="82"/>
        <v>10728083.33</v>
      </c>
      <c r="I197" s="498">
        <f t="shared" si="80"/>
        <v>1.0645064</v>
      </c>
      <c r="J197" s="333">
        <f t="shared" si="83"/>
        <v>11420113.359999999</v>
      </c>
      <c r="K197" s="334">
        <f t="shared" si="84"/>
        <v>11212504.35</v>
      </c>
      <c r="L197" s="334">
        <f>'Затраты подрядчика'!M212*K197/F197</f>
        <v>0</v>
      </c>
      <c r="N197" s="515"/>
    </row>
    <row r="198" spans="1:14" ht="26.25" hidden="1" customHeight="1" outlineLevel="1" x14ac:dyDescent="0.2">
      <c r="A198" s="326" t="s">
        <v>1122</v>
      </c>
      <c r="B198" s="346"/>
      <c r="C198" s="327" t="s">
        <v>513</v>
      </c>
      <c r="D198" s="329" t="s">
        <v>704</v>
      </c>
      <c r="E198" s="330">
        <v>1</v>
      </c>
      <c r="F198" s="328">
        <f>'Затраты подрядчика'!O213</f>
        <v>2708727.14</v>
      </c>
      <c r="G198" s="476">
        <f t="shared" si="39"/>
        <v>1.1025839</v>
      </c>
      <c r="H198" s="331">
        <f t="shared" si="82"/>
        <v>2986598.93</v>
      </c>
      <c r="I198" s="498">
        <f t="shared" si="80"/>
        <v>1.0645064</v>
      </c>
      <c r="J198" s="333">
        <f t="shared" si="83"/>
        <v>3179253.68</v>
      </c>
      <c r="K198" s="334">
        <f t="shared" si="84"/>
        <v>3121457.26</v>
      </c>
      <c r="L198" s="334">
        <f>'Затраты подрядчика'!M213*K198/F198</f>
        <v>0</v>
      </c>
      <c r="N198" s="515"/>
    </row>
    <row r="199" spans="1:14" hidden="1" outlineLevel="1" x14ac:dyDescent="0.2">
      <c r="A199" s="326" t="s">
        <v>1123</v>
      </c>
      <c r="B199" s="346"/>
      <c r="C199" s="327" t="s">
        <v>514</v>
      </c>
      <c r="D199" s="329" t="s">
        <v>704</v>
      </c>
      <c r="E199" s="330">
        <v>1</v>
      </c>
      <c r="F199" s="328">
        <f>'Затраты подрядчика'!O214</f>
        <v>17372734</v>
      </c>
      <c r="G199" s="476">
        <f t="shared" si="39"/>
        <v>1.1025839</v>
      </c>
      <c r="H199" s="331">
        <f t="shared" si="82"/>
        <v>19154896.809999999</v>
      </c>
      <c r="I199" s="498">
        <f t="shared" si="80"/>
        <v>1.0645064</v>
      </c>
      <c r="J199" s="333">
        <f t="shared" si="83"/>
        <v>20390510.25</v>
      </c>
      <c r="K199" s="334">
        <f t="shared" si="84"/>
        <v>20019826.219999999</v>
      </c>
      <c r="L199" s="334">
        <f>'Затраты подрядчика'!M214*K199/F199</f>
        <v>15349463.32</v>
      </c>
      <c r="N199" s="515"/>
    </row>
    <row r="200" spans="1:14" s="142" customFormat="1" ht="19.5" customHeight="1" collapsed="1" x14ac:dyDescent="0.2">
      <c r="A200" s="134" t="s">
        <v>678</v>
      </c>
      <c r="B200" s="347" t="s">
        <v>43</v>
      </c>
      <c r="C200" s="133" t="s">
        <v>44</v>
      </c>
      <c r="D200" s="319" t="s">
        <v>704</v>
      </c>
      <c r="E200" s="320">
        <v>1</v>
      </c>
      <c r="F200" s="150">
        <f>SUM(F201:F209)</f>
        <v>14601385.52</v>
      </c>
      <c r="G200" s="476">
        <f t="shared" si="39"/>
        <v>1.1025839</v>
      </c>
      <c r="H200" s="196">
        <f t="shared" si="82"/>
        <v>16099252.59</v>
      </c>
      <c r="I200" s="498">
        <f t="shared" si="80"/>
        <v>1.0645064</v>
      </c>
      <c r="J200" s="180">
        <f t="shared" si="83"/>
        <v>17137757.420000002</v>
      </c>
      <c r="K200" s="181">
        <f t="shared" si="84"/>
        <v>16826205.969999999</v>
      </c>
      <c r="L200" s="181">
        <f>'Затраты подрядчика'!M215*K200/F200</f>
        <v>0</v>
      </c>
      <c r="N200" s="515"/>
    </row>
    <row r="201" spans="1:14" ht="14.25" hidden="1" customHeight="1" outlineLevel="1" x14ac:dyDescent="0.2">
      <c r="A201" s="326" t="s">
        <v>1124</v>
      </c>
      <c r="B201" s="346"/>
      <c r="C201" s="327" t="s">
        <v>515</v>
      </c>
      <c r="D201" s="329" t="s">
        <v>704</v>
      </c>
      <c r="E201" s="330">
        <v>1</v>
      </c>
      <c r="F201" s="328">
        <f>'Затраты подрядчика'!O216</f>
        <v>1705945.91</v>
      </c>
      <c r="G201" s="476">
        <f t="shared" si="39"/>
        <v>1.1025839</v>
      </c>
      <c r="H201" s="481">
        <f>F201*G201+0.01</f>
        <v>1880948.5</v>
      </c>
      <c r="I201" s="498">
        <f t="shared" si="80"/>
        <v>1.0645064</v>
      </c>
      <c r="J201" s="499">
        <f>H201*I201+0.01</f>
        <v>2002281.73</v>
      </c>
      <c r="K201" s="334">
        <f t="shared" si="84"/>
        <v>1965881.76</v>
      </c>
      <c r="L201" s="334">
        <f>'Затраты подрядчика'!M216*K201/F201</f>
        <v>0</v>
      </c>
      <c r="N201" s="515"/>
    </row>
    <row r="202" spans="1:14" ht="33" hidden="1" customHeight="1" outlineLevel="1" x14ac:dyDescent="0.2">
      <c r="A202" s="326" t="s">
        <v>1125</v>
      </c>
      <c r="B202" s="346"/>
      <c r="C202" s="327" t="s">
        <v>517</v>
      </c>
      <c r="D202" s="329" t="s">
        <v>704</v>
      </c>
      <c r="E202" s="330">
        <v>1</v>
      </c>
      <c r="F202" s="328">
        <f>'Затраты подрядчика'!O217</f>
        <v>928377.56</v>
      </c>
      <c r="G202" s="476">
        <f t="shared" si="39"/>
        <v>1.1025839</v>
      </c>
      <c r="H202" s="331">
        <f t="shared" si="82"/>
        <v>1023614.15</v>
      </c>
      <c r="I202" s="498">
        <f t="shared" si="80"/>
        <v>1.0645064</v>
      </c>
      <c r="J202" s="333">
        <f t="shared" si="83"/>
        <v>1089643.81</v>
      </c>
      <c r="K202" s="334">
        <f t="shared" si="84"/>
        <v>1069834.9099999999</v>
      </c>
      <c r="L202" s="334">
        <f>'Затраты подрядчика'!M217*K202/F202</f>
        <v>0</v>
      </c>
      <c r="N202" s="515"/>
    </row>
    <row r="203" spans="1:14" ht="24.75" hidden="1" customHeight="1" outlineLevel="1" x14ac:dyDescent="0.2">
      <c r="A203" s="326" t="s">
        <v>1126</v>
      </c>
      <c r="B203" s="346"/>
      <c r="C203" s="327" t="s">
        <v>522</v>
      </c>
      <c r="D203" s="329" t="s">
        <v>704</v>
      </c>
      <c r="E203" s="330">
        <v>1</v>
      </c>
      <c r="F203" s="328">
        <f>'Затраты подрядчика'!O218</f>
        <v>4614278.3899999997</v>
      </c>
      <c r="G203" s="476">
        <f t="shared" si="39"/>
        <v>1.1025839</v>
      </c>
      <c r="H203" s="331">
        <f t="shared" si="82"/>
        <v>5087629.0599999996</v>
      </c>
      <c r="I203" s="498">
        <f t="shared" si="80"/>
        <v>1.0645064</v>
      </c>
      <c r="J203" s="333">
        <f t="shared" si="83"/>
        <v>5415813.7000000002</v>
      </c>
      <c r="K203" s="334">
        <f t="shared" si="84"/>
        <v>5317358.3099999996</v>
      </c>
      <c r="L203" s="334">
        <f>'Затраты подрядчика'!M218*K203/F203</f>
        <v>0</v>
      </c>
      <c r="N203" s="515"/>
    </row>
    <row r="204" spans="1:14" ht="21.75" hidden="1" customHeight="1" outlineLevel="1" x14ac:dyDescent="0.2">
      <c r="A204" s="326" t="s">
        <v>1127</v>
      </c>
      <c r="B204" s="346"/>
      <c r="C204" s="327" t="s">
        <v>523</v>
      </c>
      <c r="D204" s="329" t="s">
        <v>704</v>
      </c>
      <c r="E204" s="330">
        <v>1</v>
      </c>
      <c r="F204" s="328">
        <f>'Затраты подрядчика'!O219</f>
        <v>2179143.2000000002</v>
      </c>
      <c r="G204" s="476">
        <f t="shared" si="39"/>
        <v>1.1025839</v>
      </c>
      <c r="H204" s="331">
        <f t="shared" si="82"/>
        <v>2402688.21</v>
      </c>
      <c r="I204" s="498">
        <f t="shared" si="80"/>
        <v>1.0645064</v>
      </c>
      <c r="J204" s="333">
        <f t="shared" si="83"/>
        <v>2557676.98</v>
      </c>
      <c r="K204" s="334">
        <f t="shared" si="84"/>
        <v>2511180.35</v>
      </c>
      <c r="L204" s="334">
        <f>'Затраты подрядчика'!M219*K204/F204</f>
        <v>0</v>
      </c>
      <c r="N204" s="515"/>
    </row>
    <row r="205" spans="1:14" ht="26.25" hidden="1" customHeight="1" outlineLevel="1" x14ac:dyDescent="0.2">
      <c r="A205" s="326" t="s">
        <v>1128</v>
      </c>
      <c r="B205" s="346"/>
      <c r="C205" s="327" t="s">
        <v>524</v>
      </c>
      <c r="D205" s="329" t="s">
        <v>704</v>
      </c>
      <c r="E205" s="330">
        <v>1</v>
      </c>
      <c r="F205" s="328">
        <f>'Затраты подрядчика'!O220</f>
        <v>478535.67999999999</v>
      </c>
      <c r="G205" s="476">
        <f t="shared" si="39"/>
        <v>1.1025839</v>
      </c>
      <c r="H205" s="331">
        <f t="shared" si="82"/>
        <v>527625.74</v>
      </c>
      <c r="I205" s="498">
        <f t="shared" si="80"/>
        <v>1.0645064</v>
      </c>
      <c r="J205" s="333">
        <f t="shared" si="83"/>
        <v>561660.98</v>
      </c>
      <c r="K205" s="334">
        <f t="shared" si="84"/>
        <v>551450.41</v>
      </c>
      <c r="L205" s="334">
        <f>'Затраты подрядчика'!M220*K205/F205</f>
        <v>0</v>
      </c>
      <c r="N205" s="515"/>
    </row>
    <row r="206" spans="1:14" ht="26.25" hidden="1" customHeight="1" outlineLevel="1" x14ac:dyDescent="0.2">
      <c r="A206" s="326" t="s">
        <v>1129</v>
      </c>
      <c r="B206" s="346"/>
      <c r="C206" s="327" t="s">
        <v>527</v>
      </c>
      <c r="D206" s="329" t="s">
        <v>704</v>
      </c>
      <c r="E206" s="330">
        <v>1</v>
      </c>
      <c r="F206" s="328">
        <f>'Затраты подрядчика'!O221</f>
        <v>623005.56999999995</v>
      </c>
      <c r="G206" s="476">
        <f t="shared" si="39"/>
        <v>1.1025839</v>
      </c>
      <c r="H206" s="331">
        <f t="shared" si="82"/>
        <v>686915.91</v>
      </c>
      <c r="I206" s="498">
        <f t="shared" si="80"/>
        <v>1.0645064</v>
      </c>
      <c r="J206" s="333">
        <f t="shared" si="83"/>
        <v>731226.38</v>
      </c>
      <c r="K206" s="334">
        <f t="shared" si="84"/>
        <v>717933.24</v>
      </c>
      <c r="L206" s="334">
        <f>'Затраты подрядчика'!M221*K206/F206</f>
        <v>0</v>
      </c>
      <c r="N206" s="515"/>
    </row>
    <row r="207" spans="1:14" ht="26.25" hidden="1" customHeight="1" outlineLevel="1" x14ac:dyDescent="0.2">
      <c r="A207" s="326" t="s">
        <v>1130</v>
      </c>
      <c r="B207" s="346"/>
      <c r="C207" s="327" t="s">
        <v>528</v>
      </c>
      <c r="D207" s="329" t="s">
        <v>704</v>
      </c>
      <c r="E207" s="330">
        <v>1</v>
      </c>
      <c r="F207" s="328">
        <f>'Затраты подрядчика'!O222</f>
        <v>305371.99</v>
      </c>
      <c r="G207" s="476">
        <f t="shared" si="39"/>
        <v>1.1025839</v>
      </c>
      <c r="H207" s="331">
        <f t="shared" si="82"/>
        <v>336698.24</v>
      </c>
      <c r="I207" s="498">
        <f t="shared" si="80"/>
        <v>1.0645064</v>
      </c>
      <c r="J207" s="333">
        <f t="shared" si="83"/>
        <v>358417.43</v>
      </c>
      <c r="K207" s="334">
        <f t="shared" si="84"/>
        <v>351901.67</v>
      </c>
      <c r="L207" s="334">
        <f>'Затраты подрядчика'!M222*K207/F207</f>
        <v>0</v>
      </c>
      <c r="N207" s="515"/>
    </row>
    <row r="208" spans="1:14" ht="33" hidden="1" customHeight="1" outlineLevel="1" x14ac:dyDescent="0.2">
      <c r="A208" s="326" t="s">
        <v>1131</v>
      </c>
      <c r="B208" s="346"/>
      <c r="C208" s="327" t="s">
        <v>529</v>
      </c>
      <c r="D208" s="329" t="s">
        <v>704</v>
      </c>
      <c r="E208" s="330">
        <v>1</v>
      </c>
      <c r="F208" s="328">
        <f>'Затраты подрядчика'!O223</f>
        <v>3505730.51</v>
      </c>
      <c r="G208" s="476">
        <f t="shared" si="39"/>
        <v>1.1025839</v>
      </c>
      <c r="H208" s="331">
        <f t="shared" si="82"/>
        <v>3865362.02</v>
      </c>
      <c r="I208" s="498">
        <f t="shared" si="80"/>
        <v>1.0645064</v>
      </c>
      <c r="J208" s="333">
        <f t="shared" si="83"/>
        <v>4114702.61</v>
      </c>
      <c r="K208" s="334">
        <f t="shared" si="84"/>
        <v>4039900.43</v>
      </c>
      <c r="L208" s="334">
        <f>'Затраты подрядчика'!M223*K208/F208</f>
        <v>0</v>
      </c>
      <c r="N208" s="515"/>
    </row>
    <row r="209" spans="1:14" ht="26.25" hidden="1" customHeight="1" outlineLevel="1" x14ac:dyDescent="0.2">
      <c r="A209" s="326" t="s">
        <v>1132</v>
      </c>
      <c r="B209" s="346"/>
      <c r="C209" s="327" t="s">
        <v>532</v>
      </c>
      <c r="D209" s="329" t="s">
        <v>704</v>
      </c>
      <c r="E209" s="330">
        <v>1</v>
      </c>
      <c r="F209" s="328">
        <f>'Затраты подрядчика'!O224</f>
        <v>260996.71</v>
      </c>
      <c r="G209" s="476">
        <f t="shared" si="39"/>
        <v>1.1025839</v>
      </c>
      <c r="H209" s="331">
        <f t="shared" si="82"/>
        <v>287770.77</v>
      </c>
      <c r="I209" s="498">
        <f t="shared" si="80"/>
        <v>1.0645064</v>
      </c>
      <c r="J209" s="333">
        <f t="shared" si="83"/>
        <v>306333.83</v>
      </c>
      <c r="K209" s="334">
        <f t="shared" si="84"/>
        <v>300764.90999999997</v>
      </c>
      <c r="L209" s="334">
        <f>'Затраты подрядчика'!M224*K209/F209</f>
        <v>0</v>
      </c>
      <c r="N209" s="515"/>
    </row>
    <row r="210" spans="1:14" s="142" customFormat="1" ht="19.5" customHeight="1" collapsed="1" x14ac:dyDescent="0.2">
      <c r="A210" s="134" t="s">
        <v>679</v>
      </c>
      <c r="B210" s="347" t="s">
        <v>45</v>
      </c>
      <c r="C210" s="133" t="s">
        <v>46</v>
      </c>
      <c r="D210" s="319" t="s">
        <v>704</v>
      </c>
      <c r="E210" s="320">
        <v>1</v>
      </c>
      <c r="F210" s="150">
        <f>SUM(F211:F218)</f>
        <v>9633022.4199999999</v>
      </c>
      <c r="G210" s="476">
        <f t="shared" ref="G210:G273" si="85">$G$303</f>
        <v>1.1025839</v>
      </c>
      <c r="H210" s="196">
        <f t="shared" si="82"/>
        <v>10621215.43</v>
      </c>
      <c r="I210" s="498">
        <f t="shared" si="80"/>
        <v>1.0645064</v>
      </c>
      <c r="J210" s="180">
        <f t="shared" si="83"/>
        <v>11306351.800000001</v>
      </c>
      <c r="K210" s="181">
        <f t="shared" si="84"/>
        <v>11100810.890000001</v>
      </c>
      <c r="L210" s="181">
        <f>'Затраты подрядчика'!M225*K210/F210</f>
        <v>0</v>
      </c>
      <c r="N210" s="515"/>
    </row>
    <row r="211" spans="1:14" ht="24" hidden="1" customHeight="1" outlineLevel="1" x14ac:dyDescent="0.2">
      <c r="A211" s="326" t="s">
        <v>1133</v>
      </c>
      <c r="B211" s="346"/>
      <c r="C211" s="327" t="s">
        <v>515</v>
      </c>
      <c r="D211" s="329" t="s">
        <v>704</v>
      </c>
      <c r="E211" s="330">
        <v>1</v>
      </c>
      <c r="F211" s="328">
        <f>'Затраты подрядчика'!O226</f>
        <v>2449982.5499999998</v>
      </c>
      <c r="G211" s="476">
        <f t="shared" si="85"/>
        <v>1.1025839</v>
      </c>
      <c r="H211" s="481">
        <f>F211*G211+0.01</f>
        <v>2701311.32</v>
      </c>
      <c r="I211" s="498">
        <f t="shared" si="80"/>
        <v>1.0645064</v>
      </c>
      <c r="J211" s="333">
        <f t="shared" si="83"/>
        <v>2875563.19</v>
      </c>
      <c r="K211" s="502">
        <f>H211+(J211-H211)*(1-30/100)+0.01</f>
        <v>2823287.64</v>
      </c>
      <c r="L211" s="334">
        <f>'Затраты подрядчика'!M226</f>
        <v>0</v>
      </c>
      <c r="N211" s="515"/>
    </row>
    <row r="212" spans="1:14" ht="35.25" hidden="1" customHeight="1" outlineLevel="1" x14ac:dyDescent="0.2">
      <c r="A212" s="326" t="s">
        <v>1134</v>
      </c>
      <c r="B212" s="346"/>
      <c r="C212" s="327" t="s">
        <v>524</v>
      </c>
      <c r="D212" s="329" t="s">
        <v>704</v>
      </c>
      <c r="E212" s="330">
        <v>1</v>
      </c>
      <c r="F212" s="328">
        <f>'Затраты подрядчика'!O227</f>
        <v>522744.13</v>
      </c>
      <c r="G212" s="476">
        <f t="shared" si="85"/>
        <v>1.1025839</v>
      </c>
      <c r="H212" s="331">
        <f t="shared" si="82"/>
        <v>576369.26</v>
      </c>
      <c r="I212" s="498">
        <f t="shared" si="80"/>
        <v>1.0645064</v>
      </c>
      <c r="J212" s="333">
        <f t="shared" si="83"/>
        <v>613548.77</v>
      </c>
      <c r="K212" s="502">
        <f>H212+(J212-H212)*(1-30/100)+0.01</f>
        <v>602394.93000000005</v>
      </c>
      <c r="L212" s="334">
        <f>'Затраты подрядчика'!M227</f>
        <v>0</v>
      </c>
      <c r="N212" s="515"/>
    </row>
    <row r="213" spans="1:14" ht="23.25" hidden="1" customHeight="1" outlineLevel="1" x14ac:dyDescent="0.2">
      <c r="A213" s="326" t="s">
        <v>1135</v>
      </c>
      <c r="B213" s="346"/>
      <c r="C213" s="327" t="s">
        <v>523</v>
      </c>
      <c r="D213" s="329" t="s">
        <v>704</v>
      </c>
      <c r="E213" s="330">
        <v>1</v>
      </c>
      <c r="F213" s="328">
        <f>'Затраты подрядчика'!O228</f>
        <v>2179059.79</v>
      </c>
      <c r="G213" s="476">
        <f t="shared" si="85"/>
        <v>1.1025839</v>
      </c>
      <c r="H213" s="331">
        <f t="shared" si="82"/>
        <v>2402596.2400000002</v>
      </c>
      <c r="I213" s="498">
        <f t="shared" si="80"/>
        <v>1.0645064</v>
      </c>
      <c r="J213" s="333">
        <f t="shared" si="83"/>
        <v>2557579.0699999998</v>
      </c>
      <c r="K213" s="334">
        <f t="shared" si="84"/>
        <v>2511084.2200000002</v>
      </c>
      <c r="L213" s="334">
        <f>'Затраты подрядчика'!M228</f>
        <v>0</v>
      </c>
      <c r="N213" s="515"/>
    </row>
    <row r="214" spans="1:14" ht="33" hidden="1" customHeight="1" outlineLevel="1" x14ac:dyDescent="0.2">
      <c r="A214" s="326" t="s">
        <v>1136</v>
      </c>
      <c r="B214" s="346"/>
      <c r="C214" s="327" t="s">
        <v>524</v>
      </c>
      <c r="D214" s="329" t="s">
        <v>704</v>
      </c>
      <c r="E214" s="330">
        <v>1</v>
      </c>
      <c r="F214" s="328">
        <f>'Затраты подрядчика'!O229</f>
        <v>521910.01</v>
      </c>
      <c r="G214" s="476">
        <f t="shared" si="85"/>
        <v>1.1025839</v>
      </c>
      <c r="H214" s="331">
        <f t="shared" si="82"/>
        <v>575449.56999999995</v>
      </c>
      <c r="I214" s="498">
        <f t="shared" si="80"/>
        <v>1.0645064</v>
      </c>
      <c r="J214" s="333">
        <f t="shared" si="83"/>
        <v>612569.75</v>
      </c>
      <c r="K214" s="334">
        <f t="shared" si="84"/>
        <v>601433.69999999995</v>
      </c>
      <c r="L214" s="334">
        <f>'Затраты подрядчика'!M229</f>
        <v>0</v>
      </c>
      <c r="N214" s="515"/>
    </row>
    <row r="215" spans="1:14" ht="26.25" hidden="1" customHeight="1" outlineLevel="1" x14ac:dyDescent="0.2">
      <c r="A215" s="326" t="s">
        <v>1137</v>
      </c>
      <c r="B215" s="346"/>
      <c r="C215" s="327" t="s">
        <v>527</v>
      </c>
      <c r="D215" s="329" t="s">
        <v>704</v>
      </c>
      <c r="E215" s="330">
        <v>1</v>
      </c>
      <c r="F215" s="328">
        <f>'Затраты подрядчика'!O230</f>
        <v>721682.18</v>
      </c>
      <c r="G215" s="476">
        <f t="shared" si="85"/>
        <v>1.1025839</v>
      </c>
      <c r="H215" s="331">
        <f t="shared" si="82"/>
        <v>795715.15</v>
      </c>
      <c r="I215" s="498">
        <f t="shared" si="80"/>
        <v>1.0645064</v>
      </c>
      <c r="J215" s="333">
        <f t="shared" si="83"/>
        <v>847043.87</v>
      </c>
      <c r="K215" s="334">
        <f t="shared" si="84"/>
        <v>831645.25</v>
      </c>
      <c r="L215" s="334">
        <f>'Затраты подрядчика'!M230</f>
        <v>0</v>
      </c>
      <c r="N215" s="515"/>
    </row>
    <row r="216" spans="1:14" ht="26.25" hidden="1" customHeight="1" outlineLevel="1" x14ac:dyDescent="0.2">
      <c r="A216" s="326" t="s">
        <v>1138</v>
      </c>
      <c r="B216" s="346"/>
      <c r="C216" s="327" t="s">
        <v>528</v>
      </c>
      <c r="D216" s="329" t="s">
        <v>704</v>
      </c>
      <c r="E216" s="330">
        <v>1</v>
      </c>
      <c r="F216" s="328">
        <f>'Затраты подрядчика'!O231</f>
        <v>296530.3</v>
      </c>
      <c r="G216" s="476">
        <f t="shared" si="85"/>
        <v>1.1025839</v>
      </c>
      <c r="H216" s="331">
        <f t="shared" si="82"/>
        <v>326949.53000000003</v>
      </c>
      <c r="I216" s="498">
        <f t="shared" si="80"/>
        <v>1.0645064</v>
      </c>
      <c r="J216" s="333">
        <f t="shared" si="83"/>
        <v>348039.87</v>
      </c>
      <c r="K216" s="334">
        <f t="shared" si="84"/>
        <v>341712.77</v>
      </c>
      <c r="L216" s="334">
        <f>'Затраты подрядчика'!M231</f>
        <v>0</v>
      </c>
      <c r="N216" s="515"/>
    </row>
    <row r="217" spans="1:14" ht="26.25" hidden="1" customHeight="1" outlineLevel="1" x14ac:dyDescent="0.2">
      <c r="A217" s="326" t="s">
        <v>1139</v>
      </c>
      <c r="B217" s="346"/>
      <c r="C217" s="327" t="s">
        <v>541</v>
      </c>
      <c r="D217" s="329" t="s">
        <v>704</v>
      </c>
      <c r="E217" s="330">
        <v>1</v>
      </c>
      <c r="F217" s="328">
        <f>'Затраты подрядчика'!O232</f>
        <v>2751600.99</v>
      </c>
      <c r="G217" s="476">
        <f t="shared" si="85"/>
        <v>1.1025839</v>
      </c>
      <c r="H217" s="331">
        <f t="shared" si="82"/>
        <v>3033870.95</v>
      </c>
      <c r="I217" s="498">
        <f t="shared" si="80"/>
        <v>1.0645064</v>
      </c>
      <c r="J217" s="333">
        <f t="shared" si="83"/>
        <v>3229575.04</v>
      </c>
      <c r="K217" s="334">
        <f t="shared" si="84"/>
        <v>3170863.81</v>
      </c>
      <c r="L217" s="334">
        <f>'Затраты подрядчика'!M232</f>
        <v>0</v>
      </c>
      <c r="N217" s="515"/>
    </row>
    <row r="218" spans="1:14" ht="26.25" hidden="1" customHeight="1" outlineLevel="1" x14ac:dyDescent="0.2">
      <c r="A218" s="326" t="s">
        <v>1140</v>
      </c>
      <c r="B218" s="346"/>
      <c r="C218" s="327" t="s">
        <v>532</v>
      </c>
      <c r="D218" s="329" t="s">
        <v>704</v>
      </c>
      <c r="E218" s="330">
        <v>1</v>
      </c>
      <c r="F218" s="328">
        <f>'Затраты подрядчика'!O233</f>
        <v>189512.47</v>
      </c>
      <c r="G218" s="476">
        <f t="shared" si="85"/>
        <v>1.1025839</v>
      </c>
      <c r="H218" s="331">
        <f t="shared" si="82"/>
        <v>208953.4</v>
      </c>
      <c r="I218" s="498">
        <f t="shared" si="80"/>
        <v>1.0645064</v>
      </c>
      <c r="J218" s="333">
        <f t="shared" si="83"/>
        <v>222432.23</v>
      </c>
      <c r="K218" s="334">
        <f t="shared" si="84"/>
        <v>218388.58</v>
      </c>
      <c r="L218" s="334">
        <f>'Затраты подрядчика'!M233</f>
        <v>0</v>
      </c>
      <c r="N218" s="515"/>
    </row>
    <row r="219" spans="1:14" ht="23.25" customHeight="1" collapsed="1" x14ac:dyDescent="0.2">
      <c r="A219" s="134" t="s">
        <v>680</v>
      </c>
      <c r="B219" s="123"/>
      <c r="C219" s="126" t="s">
        <v>632</v>
      </c>
      <c r="D219" s="126"/>
      <c r="E219" s="127"/>
      <c r="F219" s="150">
        <f>F220</f>
        <v>17678524.620000001</v>
      </c>
      <c r="G219" s="476"/>
      <c r="H219" s="196">
        <f>H220</f>
        <v>19492056.620000001</v>
      </c>
      <c r="I219" s="335"/>
      <c r="J219" s="180">
        <f>J220</f>
        <v>20749419.02</v>
      </c>
      <c r="K219" s="180">
        <f>K220</f>
        <v>20372210.300000001</v>
      </c>
      <c r="L219" s="180">
        <f>L220</f>
        <v>12058003.34</v>
      </c>
      <c r="N219" s="515"/>
    </row>
    <row r="220" spans="1:14" s="142" customFormat="1" ht="30" customHeight="1" collapsed="1" x14ac:dyDescent="0.2">
      <c r="A220" s="132" t="s">
        <v>1009</v>
      </c>
      <c r="B220" s="132" t="s">
        <v>49</v>
      </c>
      <c r="C220" s="121" t="s">
        <v>50</v>
      </c>
      <c r="D220" s="329" t="s">
        <v>704</v>
      </c>
      <c r="E220" s="330">
        <v>1</v>
      </c>
      <c r="F220" s="328">
        <f>SUM(F221:F223)</f>
        <v>17678524.620000001</v>
      </c>
      <c r="G220" s="476">
        <f t="shared" si="85"/>
        <v>1.1025839</v>
      </c>
      <c r="H220" s="331">
        <f t="shared" si="82"/>
        <v>19492056.620000001</v>
      </c>
      <c r="I220" s="498">
        <f>$F$348</f>
        <v>1.0645064</v>
      </c>
      <c r="J220" s="333">
        <f t="shared" si="83"/>
        <v>20749419.02</v>
      </c>
      <c r="K220" s="334">
        <f t="shared" si="84"/>
        <v>20372210.300000001</v>
      </c>
      <c r="L220" s="334">
        <f>L223</f>
        <v>12058003.34</v>
      </c>
      <c r="N220" s="515"/>
    </row>
    <row r="221" spans="1:14" ht="17.25" hidden="1" customHeight="1" outlineLevel="1" x14ac:dyDescent="0.2">
      <c r="A221" s="375" t="s">
        <v>1141</v>
      </c>
      <c r="B221" s="375"/>
      <c r="C221" s="376" t="s">
        <v>374</v>
      </c>
      <c r="D221" s="358" t="s">
        <v>704</v>
      </c>
      <c r="E221" s="359">
        <v>1</v>
      </c>
      <c r="F221" s="360">
        <f>'Затраты подрядчика'!O237</f>
        <v>786042.02</v>
      </c>
      <c r="G221" s="476">
        <f t="shared" si="85"/>
        <v>1.1025839</v>
      </c>
      <c r="H221" s="360">
        <f>F221*G221</f>
        <v>866677.28</v>
      </c>
      <c r="I221" s="498">
        <f>$F$348</f>
        <v>1.0645064</v>
      </c>
      <c r="J221" s="360">
        <f t="shared" si="83"/>
        <v>922583.51</v>
      </c>
      <c r="K221" s="360">
        <f t="shared" si="84"/>
        <v>905811.64</v>
      </c>
      <c r="L221" s="379"/>
      <c r="N221" s="515"/>
    </row>
    <row r="222" spans="1:14" ht="17.25" hidden="1" customHeight="1" outlineLevel="1" x14ac:dyDescent="0.2">
      <c r="A222" s="375" t="s">
        <v>1142</v>
      </c>
      <c r="B222" s="375"/>
      <c r="C222" s="376" t="s">
        <v>545</v>
      </c>
      <c r="D222" s="358" t="s">
        <v>704</v>
      </c>
      <c r="E222" s="359">
        <v>1</v>
      </c>
      <c r="F222" s="360">
        <f>'Затраты подрядчика'!O238</f>
        <v>6396979.4000000004</v>
      </c>
      <c r="G222" s="476">
        <f t="shared" si="85"/>
        <v>1.1025839</v>
      </c>
      <c r="H222" s="360">
        <f>F222*G222</f>
        <v>7053206.5</v>
      </c>
      <c r="I222" s="498">
        <f>$F$348</f>
        <v>1.0645064</v>
      </c>
      <c r="J222" s="360">
        <f t="shared" ref="J222:J223" si="86">H222*I222</f>
        <v>7508183.46</v>
      </c>
      <c r="K222" s="360">
        <f t="shared" ref="K222:K223" si="87">H222+(J222-H222)*(1-30/100)</f>
        <v>7371690.3700000001</v>
      </c>
      <c r="L222" s="379"/>
      <c r="N222" s="515"/>
    </row>
    <row r="223" spans="1:14" ht="17.25" hidden="1" customHeight="1" outlineLevel="1" x14ac:dyDescent="0.2">
      <c r="A223" s="375" t="s">
        <v>1143</v>
      </c>
      <c r="B223" s="375"/>
      <c r="C223" s="376" t="s">
        <v>546</v>
      </c>
      <c r="D223" s="358" t="s">
        <v>704</v>
      </c>
      <c r="E223" s="359">
        <v>1</v>
      </c>
      <c r="F223" s="360">
        <f>'Затраты подрядчика'!O239</f>
        <v>10495503.199999999</v>
      </c>
      <c r="G223" s="476">
        <f t="shared" si="85"/>
        <v>1.1025839</v>
      </c>
      <c r="H223" s="360">
        <f>F223*G223</f>
        <v>11572172.85</v>
      </c>
      <c r="I223" s="498">
        <f>$F$348</f>
        <v>1.0645064</v>
      </c>
      <c r="J223" s="360">
        <f t="shared" si="86"/>
        <v>12318652.060000001</v>
      </c>
      <c r="K223" s="360">
        <f t="shared" si="87"/>
        <v>12094708.300000001</v>
      </c>
      <c r="L223" s="379">
        <f>'Затраты подрядчика'!M239*K223/F223</f>
        <v>12058003.34</v>
      </c>
      <c r="N223" s="515"/>
    </row>
    <row r="224" spans="1:14" ht="25.5" customHeight="1" collapsed="1" x14ac:dyDescent="0.2">
      <c r="A224" s="123"/>
      <c r="B224" s="123"/>
      <c r="C224" s="126" t="s">
        <v>633</v>
      </c>
      <c r="D224" s="126"/>
      <c r="E224" s="127"/>
      <c r="F224" s="129"/>
      <c r="G224" s="476">
        <f t="shared" si="85"/>
        <v>1.1025839</v>
      </c>
      <c r="H224" s="122"/>
      <c r="I224" s="325"/>
      <c r="J224" s="122"/>
      <c r="K224" s="122"/>
      <c r="L224" s="122"/>
      <c r="N224" s="515"/>
    </row>
    <row r="225" spans="1:15" x14ac:dyDescent="0.2">
      <c r="A225" s="134" t="s">
        <v>681</v>
      </c>
      <c r="B225" s="134" t="s">
        <v>53</v>
      </c>
      <c r="C225" s="133" t="s">
        <v>54</v>
      </c>
      <c r="D225" s="342" t="s">
        <v>704</v>
      </c>
      <c r="E225" s="343">
        <v>1</v>
      </c>
      <c r="F225" s="150">
        <f>F226+F235</f>
        <v>32698341.600000001</v>
      </c>
      <c r="G225" s="476"/>
      <c r="H225" s="150">
        <f>H226+H235</f>
        <v>36052665.009999998</v>
      </c>
      <c r="I225" s="335"/>
      <c r="J225" s="150">
        <f>J226+J235</f>
        <v>38378292.640000001</v>
      </c>
      <c r="K225" s="150">
        <f>K226+K235</f>
        <v>37680604.350000001</v>
      </c>
      <c r="L225" s="150">
        <f>L226+L235</f>
        <v>22109363.75</v>
      </c>
      <c r="N225" s="515"/>
    </row>
    <row r="226" spans="1:15" s="142" customFormat="1" ht="17.25" customHeight="1" x14ac:dyDescent="0.2">
      <c r="A226" s="326" t="s">
        <v>682</v>
      </c>
      <c r="B226" s="326" t="s">
        <v>335</v>
      </c>
      <c r="C226" s="327" t="s">
        <v>54</v>
      </c>
      <c r="D226" s="329" t="s">
        <v>704</v>
      </c>
      <c r="E226" s="330">
        <v>1</v>
      </c>
      <c r="F226" s="328">
        <f>'Затраты подрядчика'!O243</f>
        <v>25732757.27</v>
      </c>
      <c r="G226" s="476">
        <f t="shared" si="85"/>
        <v>1.1025839</v>
      </c>
      <c r="H226" s="331">
        <f t="shared" ref="H226:H255" si="88">F226*G226</f>
        <v>28372523.870000001</v>
      </c>
      <c r="I226" s="498">
        <f t="shared" ref="I226:I235" si="89">$F$348</f>
        <v>1.0645064</v>
      </c>
      <c r="J226" s="333">
        <f t="shared" ref="J226:J250" si="90">H226*I226</f>
        <v>30202733.239999998</v>
      </c>
      <c r="K226" s="334">
        <f t="shared" ref="K226:K250" si="91">H226+(J226-H226)*(1-30/100)</f>
        <v>29653670.43</v>
      </c>
      <c r="L226" s="334">
        <f>'Затраты подрядчика'!M243*K226/F226</f>
        <v>22109363.75</v>
      </c>
      <c r="N226" s="515"/>
    </row>
    <row r="227" spans="1:15" s="137" customFormat="1" ht="17.25" hidden="1" customHeight="1" outlineLevel="1" x14ac:dyDescent="0.2">
      <c r="A227" s="375" t="s">
        <v>1144</v>
      </c>
      <c r="B227" s="375"/>
      <c r="C227" s="376" t="s">
        <v>374</v>
      </c>
      <c r="D227" s="358" t="s">
        <v>704</v>
      </c>
      <c r="E227" s="359">
        <v>1</v>
      </c>
      <c r="F227" s="360">
        <f>'Затраты подрядчика'!O244</f>
        <v>806679.19</v>
      </c>
      <c r="G227" s="476">
        <f t="shared" si="85"/>
        <v>1.1025839</v>
      </c>
      <c r="H227" s="481">
        <f>F227*G227-0.01</f>
        <v>889431.48</v>
      </c>
      <c r="I227" s="498">
        <f t="shared" si="89"/>
        <v>1.0645064</v>
      </c>
      <c r="J227" s="364">
        <f t="shared" si="90"/>
        <v>946805.5</v>
      </c>
      <c r="K227" s="502">
        <f>H227+(J227-H227)*(1-30/100)-0.01</f>
        <v>929593.28</v>
      </c>
      <c r="L227" s="365"/>
      <c r="N227" s="515"/>
    </row>
    <row r="228" spans="1:15" s="137" customFormat="1" ht="17.25" hidden="1" customHeight="1" outlineLevel="1" x14ac:dyDescent="0.2">
      <c r="A228" s="375" t="s">
        <v>1145</v>
      </c>
      <c r="B228" s="375"/>
      <c r="C228" s="376" t="s">
        <v>547</v>
      </c>
      <c r="D228" s="358" t="s">
        <v>704</v>
      </c>
      <c r="E228" s="359">
        <v>1</v>
      </c>
      <c r="F228" s="360">
        <f>'Затраты подрядчика'!O245</f>
        <v>4116557.91</v>
      </c>
      <c r="G228" s="476">
        <f t="shared" si="85"/>
        <v>1.1025839</v>
      </c>
      <c r="H228" s="363">
        <f t="shared" si="88"/>
        <v>4538850.47</v>
      </c>
      <c r="I228" s="498">
        <f t="shared" si="89"/>
        <v>1.0645064</v>
      </c>
      <c r="J228" s="364">
        <f t="shared" si="90"/>
        <v>4831635.37</v>
      </c>
      <c r="K228" s="502">
        <f>H228+(J228-H228)*(1-30/100)-0.01</f>
        <v>4743799.8899999997</v>
      </c>
      <c r="L228" s="365"/>
      <c r="N228" s="515"/>
    </row>
    <row r="229" spans="1:15" s="137" customFormat="1" ht="17.25" hidden="1" customHeight="1" outlineLevel="1" x14ac:dyDescent="0.2">
      <c r="A229" s="375" t="s">
        <v>1146</v>
      </c>
      <c r="B229" s="375"/>
      <c r="C229" s="376" t="s">
        <v>548</v>
      </c>
      <c r="D229" s="358" t="s">
        <v>704</v>
      </c>
      <c r="E229" s="359">
        <v>1</v>
      </c>
      <c r="F229" s="360">
        <f>'Затраты подрядчика'!O246</f>
        <v>38202.78</v>
      </c>
      <c r="G229" s="476">
        <f t="shared" si="85"/>
        <v>1.1025839</v>
      </c>
      <c r="H229" s="363">
        <f t="shared" si="88"/>
        <v>42121.77</v>
      </c>
      <c r="I229" s="498">
        <f t="shared" si="89"/>
        <v>1.0645064</v>
      </c>
      <c r="J229" s="364">
        <f t="shared" si="90"/>
        <v>44838.89</v>
      </c>
      <c r="K229" s="365">
        <f t="shared" si="91"/>
        <v>44023.75</v>
      </c>
      <c r="L229" s="365"/>
      <c r="N229" s="515"/>
    </row>
    <row r="230" spans="1:15" s="137" customFormat="1" ht="17.25" hidden="1" customHeight="1" outlineLevel="1" x14ac:dyDescent="0.2">
      <c r="A230" s="375" t="s">
        <v>1147</v>
      </c>
      <c r="B230" s="375"/>
      <c r="C230" s="376" t="s">
        <v>545</v>
      </c>
      <c r="D230" s="358" t="s">
        <v>704</v>
      </c>
      <c r="E230" s="359">
        <v>1</v>
      </c>
      <c r="F230" s="360">
        <f>'Затраты подрядчика'!O247</f>
        <v>916366.21</v>
      </c>
      <c r="G230" s="476">
        <f t="shared" si="85"/>
        <v>1.1025839</v>
      </c>
      <c r="H230" s="363">
        <f t="shared" si="88"/>
        <v>1010370.63</v>
      </c>
      <c r="I230" s="498">
        <f t="shared" si="89"/>
        <v>1.0645064</v>
      </c>
      <c r="J230" s="364">
        <f t="shared" si="90"/>
        <v>1075546</v>
      </c>
      <c r="K230" s="365">
        <f t="shared" si="91"/>
        <v>1055993.3899999999</v>
      </c>
      <c r="L230" s="365"/>
      <c r="N230" s="515"/>
    </row>
    <row r="231" spans="1:15" s="137" customFormat="1" ht="17.25" hidden="1" customHeight="1" outlineLevel="1" x14ac:dyDescent="0.2">
      <c r="A231" s="375" t="s">
        <v>1148</v>
      </c>
      <c r="B231" s="375"/>
      <c r="C231" s="376" t="s">
        <v>549</v>
      </c>
      <c r="D231" s="358" t="s">
        <v>704</v>
      </c>
      <c r="E231" s="359">
        <v>1</v>
      </c>
      <c r="F231" s="360">
        <f>'Затраты подрядчика'!O248</f>
        <v>26691.9</v>
      </c>
      <c r="G231" s="476">
        <f t="shared" si="85"/>
        <v>1.1025839</v>
      </c>
      <c r="H231" s="363">
        <f t="shared" si="88"/>
        <v>29430.06</v>
      </c>
      <c r="I231" s="498">
        <f t="shared" si="89"/>
        <v>1.0645064</v>
      </c>
      <c r="J231" s="364">
        <f t="shared" si="90"/>
        <v>31328.49</v>
      </c>
      <c r="K231" s="365">
        <f t="shared" si="91"/>
        <v>30758.959999999999</v>
      </c>
      <c r="L231" s="365"/>
      <c r="N231" s="515"/>
    </row>
    <row r="232" spans="1:15" s="137" customFormat="1" ht="17.25" hidden="1" customHeight="1" outlineLevel="1" x14ac:dyDescent="0.2">
      <c r="A232" s="375" t="s">
        <v>1149</v>
      </c>
      <c r="B232" s="375"/>
      <c r="C232" s="376" t="s">
        <v>550</v>
      </c>
      <c r="D232" s="358" t="s">
        <v>704</v>
      </c>
      <c r="E232" s="359">
        <v>1</v>
      </c>
      <c r="F232" s="360">
        <f>'Затраты подрядчика'!O249</f>
        <v>18311295.239999998</v>
      </c>
      <c r="G232" s="476">
        <f t="shared" si="85"/>
        <v>1.1025839</v>
      </c>
      <c r="H232" s="363">
        <f t="shared" si="88"/>
        <v>20189739.32</v>
      </c>
      <c r="I232" s="498">
        <f t="shared" si="89"/>
        <v>1.0645064</v>
      </c>
      <c r="J232" s="364">
        <f t="shared" si="90"/>
        <v>21492106.719999999</v>
      </c>
      <c r="K232" s="365">
        <f t="shared" si="91"/>
        <v>21101396.5</v>
      </c>
      <c r="L232" s="502">
        <f>'Затраты подрядчика'!M249*K232/F232-0.01</f>
        <v>20891851.120000001</v>
      </c>
      <c r="N232" s="515"/>
    </row>
    <row r="233" spans="1:15" s="137" customFormat="1" ht="17.25" hidden="1" customHeight="1" outlineLevel="1" x14ac:dyDescent="0.2">
      <c r="A233" s="375" t="s">
        <v>1150</v>
      </c>
      <c r="B233" s="375"/>
      <c r="C233" s="376" t="s">
        <v>551</v>
      </c>
      <c r="D233" s="358" t="s">
        <v>704</v>
      </c>
      <c r="E233" s="359">
        <v>1</v>
      </c>
      <c r="F233" s="360">
        <f>'Затраты подрядчика'!O250</f>
        <v>758482.02</v>
      </c>
      <c r="G233" s="476">
        <f t="shared" si="85"/>
        <v>1.1025839</v>
      </c>
      <c r="H233" s="363">
        <f t="shared" si="88"/>
        <v>836290.06</v>
      </c>
      <c r="I233" s="498">
        <f t="shared" si="89"/>
        <v>1.0645064</v>
      </c>
      <c r="J233" s="364">
        <f t="shared" si="90"/>
        <v>890236.12</v>
      </c>
      <c r="K233" s="365">
        <f t="shared" si="91"/>
        <v>874052.3</v>
      </c>
      <c r="L233" s="365">
        <f>'Затраты подрядчика'!M250*K233/F233</f>
        <v>608756.31000000006</v>
      </c>
      <c r="N233" s="515"/>
    </row>
    <row r="234" spans="1:15" s="137" customFormat="1" ht="17.25" hidden="1" customHeight="1" outlineLevel="1" x14ac:dyDescent="0.2">
      <c r="A234" s="375" t="s">
        <v>1151</v>
      </c>
      <c r="B234" s="375"/>
      <c r="C234" s="376" t="s">
        <v>552</v>
      </c>
      <c r="D234" s="358" t="s">
        <v>704</v>
      </c>
      <c r="E234" s="359">
        <v>1</v>
      </c>
      <c r="F234" s="360">
        <f>'Затраты подрядчика'!O251</f>
        <v>758482.02</v>
      </c>
      <c r="G234" s="476">
        <f t="shared" si="85"/>
        <v>1.1025839</v>
      </c>
      <c r="H234" s="363">
        <f t="shared" si="88"/>
        <v>836290.06</v>
      </c>
      <c r="I234" s="498">
        <f t="shared" si="89"/>
        <v>1.0645064</v>
      </c>
      <c r="J234" s="364">
        <f t="shared" si="90"/>
        <v>890236.12</v>
      </c>
      <c r="K234" s="365">
        <f t="shared" si="91"/>
        <v>874052.3</v>
      </c>
      <c r="L234" s="365">
        <f>'Затраты подрядчика'!M251*K234/F234</f>
        <v>608756.31000000006</v>
      </c>
      <c r="N234" s="515"/>
    </row>
    <row r="235" spans="1:15" s="142" customFormat="1" ht="31.5" collapsed="1" x14ac:dyDescent="0.2">
      <c r="A235" s="326" t="s">
        <v>683</v>
      </c>
      <c r="B235" s="326" t="s">
        <v>336</v>
      </c>
      <c r="C235" s="327" t="s">
        <v>337</v>
      </c>
      <c r="D235" s="329" t="s">
        <v>704</v>
      </c>
      <c r="E235" s="330">
        <v>1</v>
      </c>
      <c r="F235" s="328">
        <f>'Затраты подрядчика'!O252</f>
        <v>6965584.3300000001</v>
      </c>
      <c r="G235" s="476">
        <f t="shared" si="85"/>
        <v>1.1025839</v>
      </c>
      <c r="H235" s="331">
        <f t="shared" si="88"/>
        <v>7680141.1399999997</v>
      </c>
      <c r="I235" s="498">
        <f t="shared" si="89"/>
        <v>1.0645064</v>
      </c>
      <c r="J235" s="333">
        <f t="shared" si="90"/>
        <v>8175559.4000000004</v>
      </c>
      <c r="K235" s="334">
        <f t="shared" si="91"/>
        <v>8026933.9199999999</v>
      </c>
      <c r="L235" s="334">
        <f>'Затраты подрядчика'!M252*K235/F235</f>
        <v>0</v>
      </c>
      <c r="N235" s="515"/>
    </row>
    <row r="236" spans="1:15" ht="30.75" customHeight="1" x14ac:dyDescent="0.2">
      <c r="A236" s="134" t="s">
        <v>684</v>
      </c>
      <c r="B236" s="123"/>
      <c r="C236" s="126" t="s">
        <v>634</v>
      </c>
      <c r="D236" s="120" t="s">
        <v>704</v>
      </c>
      <c r="E236" s="119">
        <v>1</v>
      </c>
      <c r="F236" s="150">
        <f>F237+F243+F250</f>
        <v>54783050.789999999</v>
      </c>
      <c r="G236" s="476"/>
      <c r="H236" s="150">
        <f>H237+H243+H250</f>
        <v>60402909.789999999</v>
      </c>
      <c r="I236" s="325"/>
      <c r="J236" s="150">
        <f>J237+J243+J250</f>
        <v>64299284.049999997</v>
      </c>
      <c r="K236" s="150">
        <f>K237+K243+K250</f>
        <v>63130371.770000003</v>
      </c>
      <c r="L236" s="150">
        <f>L237+L243+L250</f>
        <v>30641472.780000001</v>
      </c>
      <c r="N236" s="515"/>
    </row>
    <row r="237" spans="1:15" s="121" customFormat="1" ht="29.25" customHeight="1" x14ac:dyDescent="0.2">
      <c r="A237" s="326" t="s">
        <v>1010</v>
      </c>
      <c r="B237" s="326" t="s">
        <v>57</v>
      </c>
      <c r="C237" s="327" t="s">
        <v>58</v>
      </c>
      <c r="D237" s="329" t="s">
        <v>704</v>
      </c>
      <c r="E237" s="330">
        <v>1</v>
      </c>
      <c r="F237" s="328">
        <f>SUM(F238:F242)</f>
        <v>12879644.02</v>
      </c>
      <c r="G237" s="476">
        <f t="shared" si="85"/>
        <v>1.1025839</v>
      </c>
      <c r="H237" s="331">
        <f t="shared" si="88"/>
        <v>14200888.130000001</v>
      </c>
      <c r="I237" s="498">
        <f t="shared" ref="I237:I255" si="92">$F$348</f>
        <v>1.0645064</v>
      </c>
      <c r="J237" s="333">
        <f t="shared" si="90"/>
        <v>15116936.300000001</v>
      </c>
      <c r="K237" s="334">
        <f t="shared" si="91"/>
        <v>14842121.85</v>
      </c>
      <c r="L237" s="334"/>
      <c r="M237" s="504"/>
      <c r="N237" s="515"/>
      <c r="O237" s="321"/>
    </row>
    <row r="238" spans="1:15" ht="17.25" hidden="1" customHeight="1" outlineLevel="1" x14ac:dyDescent="0.2">
      <c r="A238" s="375" t="s">
        <v>1152</v>
      </c>
      <c r="B238" s="375"/>
      <c r="C238" s="376" t="s">
        <v>374</v>
      </c>
      <c r="D238" s="358" t="s">
        <v>704</v>
      </c>
      <c r="E238" s="359">
        <v>1</v>
      </c>
      <c r="F238" s="360">
        <f>'Затраты подрядчика'!O256</f>
        <v>1104609.7</v>
      </c>
      <c r="G238" s="476">
        <f t="shared" si="85"/>
        <v>1.1025839</v>
      </c>
      <c r="H238" s="363">
        <f t="shared" si="88"/>
        <v>1217924.8700000001</v>
      </c>
      <c r="I238" s="498">
        <f t="shared" si="92"/>
        <v>1.0645064</v>
      </c>
      <c r="J238" s="364">
        <f t="shared" si="90"/>
        <v>1296488.82</v>
      </c>
      <c r="K238" s="365">
        <f t="shared" si="91"/>
        <v>1272919.6399999999</v>
      </c>
      <c r="L238" s="365"/>
      <c r="N238" s="515"/>
    </row>
    <row r="239" spans="1:15" ht="17.25" hidden="1" customHeight="1" outlineLevel="1" x14ac:dyDescent="0.2">
      <c r="A239" s="375" t="s">
        <v>1153</v>
      </c>
      <c r="B239" s="375"/>
      <c r="C239" s="376" t="s">
        <v>556</v>
      </c>
      <c r="D239" s="358" t="s">
        <v>704</v>
      </c>
      <c r="E239" s="359">
        <v>1</v>
      </c>
      <c r="F239" s="360">
        <f>'Затраты подрядчика'!O257</f>
        <v>4848700.8499999996</v>
      </c>
      <c r="G239" s="476">
        <f t="shared" si="85"/>
        <v>1.1025839</v>
      </c>
      <c r="H239" s="363">
        <f t="shared" si="88"/>
        <v>5346099.49</v>
      </c>
      <c r="I239" s="498">
        <f t="shared" si="92"/>
        <v>1.0645064</v>
      </c>
      <c r="J239" s="364">
        <f t="shared" si="90"/>
        <v>5690957.1200000001</v>
      </c>
      <c r="K239" s="365">
        <f t="shared" si="91"/>
        <v>5587499.8300000001</v>
      </c>
      <c r="L239" s="365"/>
      <c r="N239" s="515"/>
    </row>
    <row r="240" spans="1:15" ht="17.25" hidden="1" customHeight="1" outlineLevel="1" x14ac:dyDescent="0.2">
      <c r="A240" s="375" t="s">
        <v>1154</v>
      </c>
      <c r="B240" s="375"/>
      <c r="C240" s="376" t="s">
        <v>557</v>
      </c>
      <c r="D240" s="358" t="s">
        <v>704</v>
      </c>
      <c r="E240" s="359">
        <v>1</v>
      </c>
      <c r="F240" s="360">
        <f>'Затраты подрядчика'!O258</f>
        <v>6836887.6600000001</v>
      </c>
      <c r="G240" s="476">
        <f t="shared" si="85"/>
        <v>1.1025839</v>
      </c>
      <c r="H240" s="363">
        <f t="shared" si="88"/>
        <v>7538242.2599999998</v>
      </c>
      <c r="I240" s="498">
        <f t="shared" si="92"/>
        <v>1.0645064</v>
      </c>
      <c r="J240" s="364">
        <f t="shared" si="90"/>
        <v>8024507.1299999999</v>
      </c>
      <c r="K240" s="365">
        <f t="shared" si="91"/>
        <v>7878627.6699999999</v>
      </c>
      <c r="L240" s="365"/>
      <c r="N240" s="515"/>
    </row>
    <row r="241" spans="1:15" ht="17.25" hidden="1" customHeight="1" outlineLevel="1" x14ac:dyDescent="0.2">
      <c r="A241" s="375" t="s">
        <v>1155</v>
      </c>
      <c r="B241" s="375"/>
      <c r="C241" s="376" t="s">
        <v>558</v>
      </c>
      <c r="D241" s="358" t="s">
        <v>704</v>
      </c>
      <c r="E241" s="359">
        <v>1</v>
      </c>
      <c r="F241" s="360">
        <f>'Затраты подрядчика'!O259</f>
        <v>86771.66</v>
      </c>
      <c r="G241" s="476">
        <f t="shared" si="85"/>
        <v>1.1025839</v>
      </c>
      <c r="H241" s="363">
        <f t="shared" si="88"/>
        <v>95673.04</v>
      </c>
      <c r="I241" s="498">
        <f t="shared" si="92"/>
        <v>1.0645064</v>
      </c>
      <c r="J241" s="364">
        <f t="shared" si="90"/>
        <v>101844.56</v>
      </c>
      <c r="K241" s="365">
        <f t="shared" si="91"/>
        <v>99993.1</v>
      </c>
      <c r="L241" s="365"/>
      <c r="N241" s="515"/>
    </row>
    <row r="242" spans="1:15" ht="33.75" hidden="1" customHeight="1" outlineLevel="1" x14ac:dyDescent="0.2">
      <c r="A242" s="375" t="s">
        <v>1156</v>
      </c>
      <c r="B242" s="375"/>
      <c r="C242" s="376" t="s">
        <v>532</v>
      </c>
      <c r="D242" s="358" t="s">
        <v>704</v>
      </c>
      <c r="E242" s="359">
        <v>1</v>
      </c>
      <c r="F242" s="360">
        <f>'Затраты подрядчика'!O260</f>
        <v>2674.15</v>
      </c>
      <c r="G242" s="476">
        <f t="shared" si="85"/>
        <v>1.1025839</v>
      </c>
      <c r="H242" s="363">
        <f t="shared" si="88"/>
        <v>2948.47</v>
      </c>
      <c r="I242" s="498">
        <f t="shared" si="92"/>
        <v>1.0645064</v>
      </c>
      <c r="J242" s="364">
        <f t="shared" si="90"/>
        <v>3138.67</v>
      </c>
      <c r="K242" s="365">
        <f t="shared" si="91"/>
        <v>3081.61</v>
      </c>
      <c r="L242" s="365"/>
      <c r="N242" s="515"/>
    </row>
    <row r="243" spans="1:15" s="121" customFormat="1" ht="29.25" customHeight="1" collapsed="1" x14ac:dyDescent="0.2">
      <c r="A243" s="326" t="s">
        <v>1011</v>
      </c>
      <c r="B243" s="326" t="s">
        <v>59</v>
      </c>
      <c r="C243" s="327" t="s">
        <v>60</v>
      </c>
      <c r="D243" s="329" t="s">
        <v>704</v>
      </c>
      <c r="E243" s="330">
        <v>1</v>
      </c>
      <c r="F243" s="328">
        <f>SUM(F244:F249)</f>
        <v>38188987.340000004</v>
      </c>
      <c r="G243" s="476">
        <f t="shared" si="85"/>
        <v>1.1025839</v>
      </c>
      <c r="H243" s="331">
        <f t="shared" si="88"/>
        <v>42106562.600000001</v>
      </c>
      <c r="I243" s="498">
        <f t="shared" si="92"/>
        <v>1.0645064</v>
      </c>
      <c r="J243" s="333">
        <f t="shared" si="90"/>
        <v>44822705.369999997</v>
      </c>
      <c r="K243" s="334">
        <f t="shared" si="91"/>
        <v>44007862.539999999</v>
      </c>
      <c r="L243" s="334">
        <f>'Затраты подрядчика'!M261*K243/F243</f>
        <v>30641472.780000001</v>
      </c>
      <c r="M243" s="504"/>
      <c r="N243" s="515"/>
      <c r="O243" s="321"/>
    </row>
    <row r="244" spans="1:15" ht="17.25" hidden="1" customHeight="1" outlineLevel="1" x14ac:dyDescent="0.2">
      <c r="A244" s="375" t="s">
        <v>1157</v>
      </c>
      <c r="B244" s="375"/>
      <c r="C244" s="376" t="s">
        <v>374</v>
      </c>
      <c r="D244" s="358" t="s">
        <v>704</v>
      </c>
      <c r="E244" s="359">
        <v>1</v>
      </c>
      <c r="F244" s="360">
        <f>'Затраты подрядчика'!O262</f>
        <v>1041049.59</v>
      </c>
      <c r="G244" s="476">
        <f t="shared" si="85"/>
        <v>1.1025839</v>
      </c>
      <c r="H244" s="363">
        <f t="shared" si="88"/>
        <v>1147844.52</v>
      </c>
      <c r="I244" s="498">
        <f t="shared" si="92"/>
        <v>1.0645064</v>
      </c>
      <c r="J244" s="499">
        <f>H244*I244+0.01</f>
        <v>1221887.8500000001</v>
      </c>
      <c r="K244" s="502">
        <f>H244+(J244-H244)*(1-30/100)-0.01</f>
        <v>1199674.8400000001</v>
      </c>
      <c r="L244" s="365"/>
      <c r="N244" s="515"/>
    </row>
    <row r="245" spans="1:15" ht="17.25" hidden="1" customHeight="1" outlineLevel="1" x14ac:dyDescent="0.2">
      <c r="A245" s="375" t="s">
        <v>1158</v>
      </c>
      <c r="B245" s="375"/>
      <c r="C245" s="376" t="s">
        <v>556</v>
      </c>
      <c r="D245" s="358" t="s">
        <v>704</v>
      </c>
      <c r="E245" s="359">
        <v>1</v>
      </c>
      <c r="F245" s="360">
        <f>'Затраты подрядчика'!O263</f>
        <v>1653079.82</v>
      </c>
      <c r="G245" s="476">
        <f t="shared" si="85"/>
        <v>1.1025839</v>
      </c>
      <c r="H245" s="363">
        <f t="shared" si="88"/>
        <v>1822659.19</v>
      </c>
      <c r="I245" s="498">
        <f t="shared" si="92"/>
        <v>1.0645064</v>
      </c>
      <c r="J245" s="499">
        <f>H245*I245+0.01</f>
        <v>1940232.38</v>
      </c>
      <c r="K245" s="365">
        <f t="shared" si="91"/>
        <v>1904960.42</v>
      </c>
      <c r="L245" s="365"/>
      <c r="N245" s="515"/>
    </row>
    <row r="246" spans="1:15" ht="17.25" hidden="1" customHeight="1" outlineLevel="1" x14ac:dyDescent="0.2">
      <c r="A246" s="375" t="s">
        <v>1159</v>
      </c>
      <c r="B246" s="375"/>
      <c r="C246" s="376" t="s">
        <v>566</v>
      </c>
      <c r="D246" s="358" t="s">
        <v>704</v>
      </c>
      <c r="E246" s="359">
        <v>1</v>
      </c>
      <c r="F246" s="360">
        <f>'Затраты подрядчика'!O264</f>
        <v>6931980.7800000003</v>
      </c>
      <c r="G246" s="476">
        <f t="shared" si="85"/>
        <v>1.1025839</v>
      </c>
      <c r="H246" s="363">
        <f t="shared" si="88"/>
        <v>7643090.4000000004</v>
      </c>
      <c r="I246" s="498">
        <f t="shared" si="92"/>
        <v>1.0645064</v>
      </c>
      <c r="J246" s="364">
        <f t="shared" si="90"/>
        <v>8136118.6500000004</v>
      </c>
      <c r="K246" s="365">
        <f t="shared" si="91"/>
        <v>7988210.1799999997</v>
      </c>
      <c r="L246" s="365"/>
      <c r="N246" s="515"/>
    </row>
    <row r="247" spans="1:15" ht="17.25" hidden="1" customHeight="1" outlineLevel="1" x14ac:dyDescent="0.2">
      <c r="A247" s="375" t="s">
        <v>1160</v>
      </c>
      <c r="B247" s="375"/>
      <c r="C247" s="376" t="s">
        <v>569</v>
      </c>
      <c r="D247" s="358" t="s">
        <v>704</v>
      </c>
      <c r="E247" s="359">
        <v>1</v>
      </c>
      <c r="F247" s="360">
        <f>'Затраты подрядчика'!O265</f>
        <v>174882.08</v>
      </c>
      <c r="G247" s="476">
        <f t="shared" si="85"/>
        <v>1.1025839</v>
      </c>
      <c r="H247" s="363">
        <f t="shared" si="88"/>
        <v>192822.17</v>
      </c>
      <c r="I247" s="498">
        <f t="shared" si="92"/>
        <v>1.0645064</v>
      </c>
      <c r="J247" s="364">
        <f t="shared" si="90"/>
        <v>205260.43</v>
      </c>
      <c r="K247" s="365">
        <f t="shared" si="91"/>
        <v>201528.95</v>
      </c>
      <c r="L247" s="502">
        <f>'Затраты подрядчика'!M265*K247/F247+0.01</f>
        <v>174529.63</v>
      </c>
      <c r="N247" s="515"/>
    </row>
    <row r="248" spans="1:15" ht="17.25" hidden="1" customHeight="1" outlineLevel="1" x14ac:dyDescent="0.2">
      <c r="A248" s="375" t="s">
        <v>1161</v>
      </c>
      <c r="B248" s="375"/>
      <c r="C248" s="376" t="s">
        <v>570</v>
      </c>
      <c r="D248" s="358" t="s">
        <v>704</v>
      </c>
      <c r="E248" s="359">
        <v>1</v>
      </c>
      <c r="F248" s="360">
        <f>'Затраты подрядчика'!O266</f>
        <v>28142858.949999999</v>
      </c>
      <c r="G248" s="476">
        <f t="shared" si="85"/>
        <v>1.1025839</v>
      </c>
      <c r="H248" s="363">
        <f t="shared" si="88"/>
        <v>31029863.18</v>
      </c>
      <c r="I248" s="498">
        <f t="shared" si="92"/>
        <v>1.0645064</v>
      </c>
      <c r="J248" s="364">
        <f t="shared" si="90"/>
        <v>33031487.949999999</v>
      </c>
      <c r="K248" s="365">
        <f t="shared" si="91"/>
        <v>32431000.52</v>
      </c>
      <c r="L248" s="365">
        <f>'Затраты подрядчика'!M266*K248/F248</f>
        <v>30466943.16</v>
      </c>
      <c r="N248" s="515"/>
    </row>
    <row r="249" spans="1:15" ht="18.75" hidden="1" customHeight="1" outlineLevel="1" x14ac:dyDescent="0.2">
      <c r="A249" s="375" t="s">
        <v>1162</v>
      </c>
      <c r="B249" s="375"/>
      <c r="C249" s="376" t="s">
        <v>532</v>
      </c>
      <c r="D249" s="358" t="s">
        <v>704</v>
      </c>
      <c r="E249" s="359">
        <v>1</v>
      </c>
      <c r="F249" s="360">
        <f>'Затраты подрядчика'!O267</f>
        <v>245136.12</v>
      </c>
      <c r="G249" s="476">
        <f t="shared" si="85"/>
        <v>1.1025839</v>
      </c>
      <c r="H249" s="363">
        <f t="shared" si="88"/>
        <v>270283.14</v>
      </c>
      <c r="I249" s="498">
        <f t="shared" si="92"/>
        <v>1.0645064</v>
      </c>
      <c r="J249" s="364">
        <f t="shared" si="90"/>
        <v>287718.13</v>
      </c>
      <c r="K249" s="365">
        <f t="shared" si="91"/>
        <v>282487.63</v>
      </c>
      <c r="L249" s="365">
        <f>'Затраты подрядчика'!M267*K249/F249</f>
        <v>0</v>
      </c>
      <c r="N249" s="515"/>
    </row>
    <row r="250" spans="1:15" s="121" customFormat="1" ht="30.75" customHeight="1" collapsed="1" x14ac:dyDescent="0.2">
      <c r="A250" s="326" t="s">
        <v>1012</v>
      </c>
      <c r="B250" s="326" t="s">
        <v>61</v>
      </c>
      <c r="C250" s="327" t="s">
        <v>62</v>
      </c>
      <c r="D250" s="329" t="s">
        <v>704</v>
      </c>
      <c r="E250" s="330">
        <v>1</v>
      </c>
      <c r="F250" s="328">
        <f>SUM(F251:F255)</f>
        <v>3714419.43</v>
      </c>
      <c r="G250" s="476">
        <f t="shared" si="85"/>
        <v>1.1025839</v>
      </c>
      <c r="H250" s="331">
        <f t="shared" si="88"/>
        <v>4095459.06</v>
      </c>
      <c r="I250" s="498">
        <f t="shared" si="92"/>
        <v>1.0645064</v>
      </c>
      <c r="J250" s="333">
        <f t="shared" si="90"/>
        <v>4359642.38</v>
      </c>
      <c r="K250" s="334">
        <f t="shared" si="91"/>
        <v>4280387.38</v>
      </c>
      <c r="L250" s="334"/>
      <c r="M250" s="504"/>
      <c r="N250" s="515"/>
      <c r="O250" s="321"/>
    </row>
    <row r="251" spans="1:15" ht="17.25" hidden="1" customHeight="1" outlineLevel="1" x14ac:dyDescent="0.2">
      <c r="A251" s="375" t="s">
        <v>1163</v>
      </c>
      <c r="B251" s="375"/>
      <c r="C251" s="376" t="s">
        <v>374</v>
      </c>
      <c r="D251" s="358" t="s">
        <v>704</v>
      </c>
      <c r="E251" s="359">
        <v>1</v>
      </c>
      <c r="F251" s="360">
        <f>'Затраты подрядчика'!O269</f>
        <v>756284.31</v>
      </c>
      <c r="G251" s="476">
        <f t="shared" si="85"/>
        <v>1.1025839</v>
      </c>
      <c r="H251" s="481">
        <f>F251*G251+0.01</f>
        <v>833866.91</v>
      </c>
      <c r="I251" s="498">
        <f t="shared" si="92"/>
        <v>1.0645064</v>
      </c>
      <c r="J251" s="364">
        <f t="shared" ref="J251:J255" si="93">H251*I251</f>
        <v>887656.66</v>
      </c>
      <c r="K251" s="365">
        <f t="shared" ref="K251:K255" si="94">H251+(J251-H251)*(1-30/100)</f>
        <v>871519.74</v>
      </c>
      <c r="L251" s="365">
        <f>'Затраты подрядчика'!M269*K251/F251</f>
        <v>0</v>
      </c>
      <c r="N251" s="515"/>
    </row>
    <row r="252" spans="1:15" ht="17.25" hidden="1" customHeight="1" outlineLevel="1" x14ac:dyDescent="0.2">
      <c r="A252" s="375" t="s">
        <v>1164</v>
      </c>
      <c r="B252" s="375"/>
      <c r="C252" s="376" t="s">
        <v>572</v>
      </c>
      <c r="D252" s="358" t="s">
        <v>704</v>
      </c>
      <c r="E252" s="359">
        <v>1</v>
      </c>
      <c r="F252" s="360">
        <f>'Затраты подрядчика'!O270</f>
        <v>2231977.0699999998</v>
      </c>
      <c r="G252" s="476">
        <f t="shared" si="85"/>
        <v>1.1025839</v>
      </c>
      <c r="H252" s="363">
        <f t="shared" si="88"/>
        <v>2460941.98</v>
      </c>
      <c r="I252" s="498">
        <f t="shared" si="92"/>
        <v>1.0645064</v>
      </c>
      <c r="J252" s="364">
        <f t="shared" si="93"/>
        <v>2619688.4900000002</v>
      </c>
      <c r="K252" s="365">
        <f t="shared" si="94"/>
        <v>2572064.54</v>
      </c>
      <c r="L252" s="365">
        <f>'Затраты подрядчика'!M270*K252/F252</f>
        <v>0</v>
      </c>
      <c r="N252" s="515"/>
    </row>
    <row r="253" spans="1:15" ht="17.25" hidden="1" customHeight="1" outlineLevel="1" x14ac:dyDescent="0.2">
      <c r="A253" s="375" t="s">
        <v>1165</v>
      </c>
      <c r="B253" s="375"/>
      <c r="C253" s="376" t="s">
        <v>573</v>
      </c>
      <c r="D253" s="358" t="s">
        <v>704</v>
      </c>
      <c r="E253" s="359">
        <v>1</v>
      </c>
      <c r="F253" s="360">
        <f>'Затраты подрядчика'!O271</f>
        <v>168904.59</v>
      </c>
      <c r="G253" s="476">
        <f t="shared" si="85"/>
        <v>1.1025839</v>
      </c>
      <c r="H253" s="363">
        <f t="shared" si="88"/>
        <v>186231.48</v>
      </c>
      <c r="I253" s="498">
        <f t="shared" si="92"/>
        <v>1.0645064</v>
      </c>
      <c r="J253" s="364">
        <f t="shared" si="93"/>
        <v>198244.6</v>
      </c>
      <c r="K253" s="365">
        <f t="shared" si="94"/>
        <v>194640.66</v>
      </c>
      <c r="L253" s="365">
        <f>'Затраты подрядчика'!M271*K253/F253</f>
        <v>0</v>
      </c>
      <c r="N253" s="515"/>
    </row>
    <row r="254" spans="1:15" ht="17.25" hidden="1" customHeight="1" outlineLevel="1" x14ac:dyDescent="0.2">
      <c r="A254" s="375" t="s">
        <v>1166</v>
      </c>
      <c r="B254" s="375"/>
      <c r="C254" s="376" t="s">
        <v>576</v>
      </c>
      <c r="D254" s="358" t="s">
        <v>704</v>
      </c>
      <c r="E254" s="359">
        <v>1</v>
      </c>
      <c r="F254" s="360">
        <f>'Затраты подрядчика'!O272</f>
        <v>406951.42</v>
      </c>
      <c r="G254" s="476">
        <f t="shared" si="85"/>
        <v>1.1025839</v>
      </c>
      <c r="H254" s="363">
        <f t="shared" si="88"/>
        <v>448698.08</v>
      </c>
      <c r="I254" s="498">
        <f t="shared" si="92"/>
        <v>1.0645064</v>
      </c>
      <c r="J254" s="364">
        <f t="shared" si="93"/>
        <v>477641.98</v>
      </c>
      <c r="K254" s="365">
        <f t="shared" si="94"/>
        <v>468958.81</v>
      </c>
      <c r="L254" s="365">
        <f>'Затраты подрядчика'!M272*K254/F254</f>
        <v>0</v>
      </c>
      <c r="N254" s="515"/>
    </row>
    <row r="255" spans="1:15" ht="17.25" hidden="1" customHeight="1" outlineLevel="1" x14ac:dyDescent="0.2">
      <c r="A255" s="375" t="s">
        <v>1167</v>
      </c>
      <c r="B255" s="375"/>
      <c r="C255" s="376" t="s">
        <v>561</v>
      </c>
      <c r="D255" s="358" t="s">
        <v>704</v>
      </c>
      <c r="E255" s="359">
        <v>1</v>
      </c>
      <c r="F255" s="360">
        <f>'Затраты подрядчика'!O273</f>
        <v>150302.04</v>
      </c>
      <c r="G255" s="476">
        <f t="shared" si="85"/>
        <v>1.1025839</v>
      </c>
      <c r="H255" s="363">
        <f t="shared" si="88"/>
        <v>165720.60999999999</v>
      </c>
      <c r="I255" s="498">
        <f t="shared" si="92"/>
        <v>1.0645064</v>
      </c>
      <c r="J255" s="364">
        <f t="shared" si="93"/>
        <v>176410.65</v>
      </c>
      <c r="K255" s="365">
        <f t="shared" si="94"/>
        <v>173203.64</v>
      </c>
      <c r="L255" s="365">
        <f>'Затраты подрядчика'!M273*K255/F255</f>
        <v>0</v>
      </c>
      <c r="N255" s="515"/>
    </row>
    <row r="256" spans="1:15" ht="29.25" customHeight="1" collapsed="1" x14ac:dyDescent="0.2">
      <c r="A256" s="123"/>
      <c r="B256" s="123"/>
      <c r="C256" s="126" t="s">
        <v>635</v>
      </c>
      <c r="D256" s="126"/>
      <c r="E256" s="127"/>
      <c r="F256" s="129"/>
      <c r="G256" s="476"/>
      <c r="H256" s="122"/>
      <c r="I256" s="325"/>
      <c r="J256" s="122"/>
      <c r="K256" s="122"/>
      <c r="L256" s="122"/>
      <c r="N256" s="515"/>
    </row>
    <row r="257" spans="1:14" s="145" customFormat="1" ht="31.5" x14ac:dyDescent="0.2">
      <c r="A257" s="134" t="s">
        <v>685</v>
      </c>
      <c r="B257" s="134" t="s">
        <v>65</v>
      </c>
      <c r="C257" s="133" t="s">
        <v>66</v>
      </c>
      <c r="D257" s="120" t="s">
        <v>704</v>
      </c>
      <c r="E257" s="119">
        <v>1</v>
      </c>
      <c r="F257" s="150">
        <f>F258+F262</f>
        <v>14710238.4</v>
      </c>
      <c r="G257" s="476"/>
      <c r="H257" s="150">
        <f>H258+H262</f>
        <v>16219272.02</v>
      </c>
      <c r="I257" s="325"/>
      <c r="J257" s="150">
        <f>J258+J262</f>
        <v>17265518.870000001</v>
      </c>
      <c r="K257" s="150">
        <f>K258+K262</f>
        <v>16951644.82</v>
      </c>
      <c r="L257" s="150"/>
      <c r="N257" s="515"/>
    </row>
    <row r="258" spans="1:14" s="142" customFormat="1" x14ac:dyDescent="0.2">
      <c r="A258" s="326" t="s">
        <v>1013</v>
      </c>
      <c r="B258" s="326" t="s">
        <v>272</v>
      </c>
      <c r="C258" s="327" t="s">
        <v>273</v>
      </c>
      <c r="D258" s="329" t="s">
        <v>704</v>
      </c>
      <c r="E258" s="330">
        <v>1</v>
      </c>
      <c r="F258" s="328">
        <f>SUM(F259:F261)</f>
        <v>11246464.220000001</v>
      </c>
      <c r="G258" s="476">
        <f t="shared" si="85"/>
        <v>1.1025839</v>
      </c>
      <c r="H258" s="331">
        <f t="shared" ref="H258:H262" si="95">F258*G258</f>
        <v>12400170.380000001</v>
      </c>
      <c r="I258" s="498">
        <f t="shared" ref="I258:I265" si="96">$F$348</f>
        <v>1.0645064</v>
      </c>
      <c r="J258" s="333">
        <f t="shared" ref="J258" si="97">H258*I258</f>
        <v>13200060.73</v>
      </c>
      <c r="K258" s="334">
        <f t="shared" ref="K258:K262" si="98">H258+(J258-H258)*(1-30/100)</f>
        <v>12960093.630000001</v>
      </c>
      <c r="L258" s="334"/>
      <c r="N258" s="515"/>
    </row>
    <row r="259" spans="1:14" ht="31.5" hidden="1" outlineLevel="1" x14ac:dyDescent="0.2">
      <c r="A259" s="375" t="s">
        <v>1168</v>
      </c>
      <c r="B259" s="375"/>
      <c r="C259" s="376" t="s">
        <v>399</v>
      </c>
      <c r="D259" s="358" t="s">
        <v>704</v>
      </c>
      <c r="E259" s="359">
        <v>1</v>
      </c>
      <c r="F259" s="360">
        <f>'Затраты подрядчика'!O278</f>
        <v>4269869.49</v>
      </c>
      <c r="G259" s="476">
        <f t="shared" si="85"/>
        <v>1.1025839</v>
      </c>
      <c r="H259" s="363">
        <f t="shared" si="95"/>
        <v>4707889.3499999996</v>
      </c>
      <c r="I259" s="498">
        <f t="shared" si="96"/>
        <v>1.0645064</v>
      </c>
      <c r="J259" s="381">
        <f>H259*I259</f>
        <v>5011578.34</v>
      </c>
      <c r="K259" s="365">
        <f t="shared" si="98"/>
        <v>4920471.6399999997</v>
      </c>
      <c r="L259" s="365"/>
      <c r="N259" s="515"/>
    </row>
    <row r="260" spans="1:14" ht="31.5" hidden="1" outlineLevel="1" x14ac:dyDescent="0.2">
      <c r="A260" s="375" t="s">
        <v>1169</v>
      </c>
      <c r="B260" s="375"/>
      <c r="C260" s="376" t="s">
        <v>401</v>
      </c>
      <c r="D260" s="358" t="s">
        <v>704</v>
      </c>
      <c r="E260" s="359">
        <v>1</v>
      </c>
      <c r="F260" s="360">
        <f>'Затраты подрядчика'!O279</f>
        <v>1311823.3500000001</v>
      </c>
      <c r="G260" s="476">
        <f t="shared" si="85"/>
        <v>1.1025839</v>
      </c>
      <c r="H260" s="363">
        <f t="shared" si="95"/>
        <v>1446395.31</v>
      </c>
      <c r="I260" s="498">
        <f t="shared" si="96"/>
        <v>1.0645064</v>
      </c>
      <c r="J260" s="381">
        <f>H260*I260</f>
        <v>1539697.06</v>
      </c>
      <c r="K260" s="365">
        <f t="shared" si="98"/>
        <v>1511706.54</v>
      </c>
      <c r="L260" s="365"/>
      <c r="N260" s="515"/>
    </row>
    <row r="261" spans="1:14" ht="17.25" hidden="1" customHeight="1" outlineLevel="1" x14ac:dyDescent="0.2">
      <c r="A261" s="375" t="s">
        <v>1170</v>
      </c>
      <c r="B261" s="375"/>
      <c r="C261" s="376" t="s">
        <v>404</v>
      </c>
      <c r="D261" s="358" t="s">
        <v>704</v>
      </c>
      <c r="E261" s="359">
        <v>1</v>
      </c>
      <c r="F261" s="360">
        <f>'Затраты подрядчика'!O280</f>
        <v>5664771.3799999999</v>
      </c>
      <c r="G261" s="476">
        <f t="shared" si="85"/>
        <v>1.1025839</v>
      </c>
      <c r="H261" s="363">
        <f t="shared" si="95"/>
        <v>6245885.7199999997</v>
      </c>
      <c r="I261" s="498">
        <f t="shared" si="96"/>
        <v>1.0645064</v>
      </c>
      <c r="J261" s="381">
        <f>H261*I261</f>
        <v>6648785.3200000003</v>
      </c>
      <c r="K261" s="365">
        <f t="shared" si="98"/>
        <v>6527915.4400000004</v>
      </c>
      <c r="L261" s="365"/>
      <c r="N261" s="515"/>
    </row>
    <row r="262" spans="1:14" s="142" customFormat="1" ht="17.25" customHeight="1" collapsed="1" x14ac:dyDescent="0.2">
      <c r="A262" s="326" t="s">
        <v>1014</v>
      </c>
      <c r="B262" s="326" t="s">
        <v>274</v>
      </c>
      <c r="C262" s="327" t="s">
        <v>275</v>
      </c>
      <c r="D262" s="329" t="s">
        <v>704</v>
      </c>
      <c r="E262" s="330">
        <v>1</v>
      </c>
      <c r="F262" s="328">
        <f>SUM(F263:F265)</f>
        <v>3463774.18</v>
      </c>
      <c r="G262" s="476">
        <f t="shared" si="85"/>
        <v>1.1025839</v>
      </c>
      <c r="H262" s="331">
        <f t="shared" si="95"/>
        <v>3819101.64</v>
      </c>
      <c r="I262" s="498">
        <f t="shared" si="96"/>
        <v>1.0645064</v>
      </c>
      <c r="J262" s="333">
        <f t="shared" ref="J262" si="99">H262*I262</f>
        <v>4065458.14</v>
      </c>
      <c r="K262" s="334">
        <f t="shared" si="98"/>
        <v>3991551.19</v>
      </c>
      <c r="L262" s="334"/>
      <c r="N262" s="515"/>
    </row>
    <row r="263" spans="1:14" ht="24" hidden="1" customHeight="1" outlineLevel="1" x14ac:dyDescent="0.2">
      <c r="A263" s="375" t="s">
        <v>1171</v>
      </c>
      <c r="B263" s="380"/>
      <c r="C263" s="376" t="s">
        <v>405</v>
      </c>
      <c r="D263" s="371" t="s">
        <v>704</v>
      </c>
      <c r="E263" s="372">
        <v>1</v>
      </c>
      <c r="F263" s="374">
        <f>'Затраты подрядчика'!O282</f>
        <v>2087973.69</v>
      </c>
      <c r="G263" s="476">
        <f t="shared" si="85"/>
        <v>1.1025839</v>
      </c>
      <c r="H263" s="363">
        <f t="shared" ref="H263:H265" si="100">F263*G263</f>
        <v>2302166.17</v>
      </c>
      <c r="I263" s="498">
        <f t="shared" si="96"/>
        <v>1.0645064</v>
      </c>
      <c r="J263" s="381">
        <f>H263*I263</f>
        <v>2450670.62</v>
      </c>
      <c r="K263" s="365">
        <f t="shared" ref="K263:K265" si="101">H263+(J263-H263)*(1-30/100)</f>
        <v>2406119.29</v>
      </c>
      <c r="L263" s="377"/>
      <c r="N263" s="515"/>
    </row>
    <row r="264" spans="1:14" ht="23.25" hidden="1" customHeight="1" outlineLevel="1" x14ac:dyDescent="0.2">
      <c r="A264" s="375" t="s">
        <v>1172</v>
      </c>
      <c r="B264" s="380"/>
      <c r="C264" s="376" t="s">
        <v>407</v>
      </c>
      <c r="D264" s="371" t="s">
        <v>704</v>
      </c>
      <c r="E264" s="372">
        <v>1</v>
      </c>
      <c r="F264" s="374">
        <f>'Затраты подрядчика'!O283</f>
        <v>1136574.3600000001</v>
      </c>
      <c r="G264" s="476">
        <f t="shared" si="85"/>
        <v>1.1025839</v>
      </c>
      <c r="H264" s="363">
        <f t="shared" si="100"/>
        <v>1253168.5900000001</v>
      </c>
      <c r="I264" s="498">
        <f t="shared" si="96"/>
        <v>1.0645064</v>
      </c>
      <c r="J264" s="381">
        <f>H264*I264</f>
        <v>1334005.98</v>
      </c>
      <c r="K264" s="365">
        <f t="shared" si="101"/>
        <v>1309754.76</v>
      </c>
      <c r="L264" s="377"/>
      <c r="N264" s="515"/>
    </row>
    <row r="265" spans="1:14" ht="35.25" hidden="1" customHeight="1" outlineLevel="1" x14ac:dyDescent="0.2">
      <c r="A265" s="375" t="s">
        <v>1173</v>
      </c>
      <c r="B265" s="375" t="s">
        <v>276</v>
      </c>
      <c r="C265" s="376" t="s">
        <v>277</v>
      </c>
      <c r="D265" s="371" t="s">
        <v>704</v>
      </c>
      <c r="E265" s="372">
        <v>1</v>
      </c>
      <c r="F265" s="374">
        <f>'Затраты подрядчика'!O284</f>
        <v>239226.13</v>
      </c>
      <c r="G265" s="476">
        <f t="shared" si="85"/>
        <v>1.1025839</v>
      </c>
      <c r="H265" s="363">
        <f t="shared" si="100"/>
        <v>263766.88</v>
      </c>
      <c r="I265" s="498">
        <f t="shared" si="96"/>
        <v>1.0645064</v>
      </c>
      <c r="J265" s="381">
        <f>H265*I265</f>
        <v>280781.53000000003</v>
      </c>
      <c r="K265" s="365">
        <f t="shared" si="101"/>
        <v>275677.14</v>
      </c>
      <c r="L265" s="377"/>
      <c r="N265" s="515"/>
    </row>
    <row r="266" spans="1:14" s="145" customFormat="1" ht="31.5" collapsed="1" x14ac:dyDescent="0.2">
      <c r="A266" s="134" t="s">
        <v>686</v>
      </c>
      <c r="B266" s="134" t="s">
        <v>67</v>
      </c>
      <c r="C266" s="133" t="s">
        <v>68</v>
      </c>
      <c r="D266" s="120" t="s">
        <v>704</v>
      </c>
      <c r="E266" s="119">
        <v>1</v>
      </c>
      <c r="F266" s="150">
        <f>F267+F271</f>
        <v>9312302.5999999996</v>
      </c>
      <c r="G266" s="476"/>
      <c r="H266" s="150">
        <f>H267+H271</f>
        <v>10267594.92</v>
      </c>
      <c r="I266" s="325"/>
      <c r="J266" s="150">
        <f>J267+J271</f>
        <v>10929920.5</v>
      </c>
      <c r="K266" s="150">
        <f>K267+K271</f>
        <v>10731222.82</v>
      </c>
      <c r="L266" s="150"/>
      <c r="N266" s="515"/>
    </row>
    <row r="267" spans="1:14" s="142" customFormat="1" ht="27.75" customHeight="1" x14ac:dyDescent="0.2">
      <c r="A267" s="326" t="s">
        <v>1015</v>
      </c>
      <c r="B267" s="326" t="s">
        <v>280</v>
      </c>
      <c r="C267" s="327" t="s">
        <v>281</v>
      </c>
      <c r="D267" s="329" t="s">
        <v>704</v>
      </c>
      <c r="E267" s="330">
        <v>1</v>
      </c>
      <c r="F267" s="328">
        <f>SUM(F268:F270)</f>
        <v>6568458.9400000004</v>
      </c>
      <c r="G267" s="476">
        <f t="shared" si="85"/>
        <v>1.1025839</v>
      </c>
      <c r="H267" s="331">
        <f t="shared" ref="H267:H271" si="102">F267*G267</f>
        <v>7242277.0800000001</v>
      </c>
      <c r="I267" s="498">
        <f t="shared" ref="I267:I276" si="103">$F$348</f>
        <v>1.0645064</v>
      </c>
      <c r="J267" s="333">
        <f t="shared" ref="J267" si="104">H267*I267</f>
        <v>7709450.2999999998</v>
      </c>
      <c r="K267" s="334">
        <f t="shared" ref="K267:K271" si="105">H267+(J267-H267)*(1-30/100)</f>
        <v>7569298.3300000001</v>
      </c>
      <c r="L267" s="334"/>
      <c r="N267" s="515"/>
    </row>
    <row r="268" spans="1:14" s="143" customFormat="1" ht="36" hidden="1" customHeight="1" outlineLevel="1" x14ac:dyDescent="0.2">
      <c r="A268" s="375" t="s">
        <v>1174</v>
      </c>
      <c r="B268" s="375"/>
      <c r="C268" s="376" t="s">
        <v>399</v>
      </c>
      <c r="D268" s="358" t="s">
        <v>704</v>
      </c>
      <c r="E268" s="359">
        <v>1</v>
      </c>
      <c r="F268" s="360">
        <f>'Затраты подрядчика'!O287</f>
        <v>4019632.95</v>
      </c>
      <c r="G268" s="476">
        <f t="shared" si="85"/>
        <v>1.1025839</v>
      </c>
      <c r="H268" s="363">
        <f>F268*G268+0.01</f>
        <v>4431982.58</v>
      </c>
      <c r="I268" s="498">
        <f t="shared" si="103"/>
        <v>1.0645064</v>
      </c>
      <c r="J268" s="381">
        <f>H268*I268</f>
        <v>4717873.82</v>
      </c>
      <c r="K268" s="365">
        <f t="shared" si="105"/>
        <v>4632106.45</v>
      </c>
      <c r="L268" s="365"/>
      <c r="N268" s="515"/>
    </row>
    <row r="269" spans="1:14" s="143" customFormat="1" ht="35.25" hidden="1" customHeight="1" outlineLevel="1" x14ac:dyDescent="0.2">
      <c r="A269" s="375" t="s">
        <v>1175</v>
      </c>
      <c r="B269" s="375"/>
      <c r="C269" s="376" t="s">
        <v>401</v>
      </c>
      <c r="D269" s="358" t="s">
        <v>704</v>
      </c>
      <c r="E269" s="359">
        <v>1</v>
      </c>
      <c r="F269" s="360">
        <f>'Затраты подрядчика'!O288</f>
        <v>1754241.56</v>
      </c>
      <c r="G269" s="476">
        <f t="shared" si="85"/>
        <v>1.1025839</v>
      </c>
      <c r="H269" s="363">
        <f t="shared" si="102"/>
        <v>1934198.5</v>
      </c>
      <c r="I269" s="498">
        <f t="shared" si="103"/>
        <v>1.0645064</v>
      </c>
      <c r="J269" s="381">
        <f>H269*I269</f>
        <v>2058966.68</v>
      </c>
      <c r="K269" s="365">
        <f t="shared" si="105"/>
        <v>2021536.23</v>
      </c>
      <c r="L269" s="365"/>
      <c r="N269" s="515"/>
    </row>
    <row r="270" spans="1:14" s="143" customFormat="1" ht="33.75" hidden="1" customHeight="1" outlineLevel="1" x14ac:dyDescent="0.2">
      <c r="A270" s="375" t="s">
        <v>1176</v>
      </c>
      <c r="B270" s="375"/>
      <c r="C270" s="376" t="s">
        <v>404</v>
      </c>
      <c r="D270" s="358" t="s">
        <v>704</v>
      </c>
      <c r="E270" s="359">
        <v>1</v>
      </c>
      <c r="F270" s="360">
        <f>'Затраты подрядчика'!O289</f>
        <v>794584.43</v>
      </c>
      <c r="G270" s="476">
        <f t="shared" si="85"/>
        <v>1.1025839</v>
      </c>
      <c r="H270" s="363">
        <f t="shared" si="102"/>
        <v>876096</v>
      </c>
      <c r="I270" s="498">
        <f t="shared" si="103"/>
        <v>1.0645064</v>
      </c>
      <c r="J270" s="381">
        <f>H270*I270</f>
        <v>932609.8</v>
      </c>
      <c r="K270" s="365">
        <f t="shared" si="105"/>
        <v>915655.66</v>
      </c>
      <c r="L270" s="365"/>
      <c r="N270" s="515"/>
    </row>
    <row r="271" spans="1:14" s="142" customFormat="1" ht="17.25" customHeight="1" collapsed="1" x14ac:dyDescent="0.2">
      <c r="A271" s="326" t="s">
        <v>1016</v>
      </c>
      <c r="B271" s="326" t="s">
        <v>282</v>
      </c>
      <c r="C271" s="327" t="s">
        <v>283</v>
      </c>
      <c r="D271" s="329" t="s">
        <v>704</v>
      </c>
      <c r="E271" s="330">
        <v>1</v>
      </c>
      <c r="F271" s="328">
        <f>SUM(F272:F274)</f>
        <v>2743843.66</v>
      </c>
      <c r="G271" s="476">
        <f t="shared" si="85"/>
        <v>1.1025839</v>
      </c>
      <c r="H271" s="331">
        <f t="shared" si="102"/>
        <v>3025317.84</v>
      </c>
      <c r="I271" s="498">
        <f t="shared" si="103"/>
        <v>1.0645064</v>
      </c>
      <c r="J271" s="333">
        <f t="shared" ref="J271" si="106">H271*I271</f>
        <v>3220470.2</v>
      </c>
      <c r="K271" s="334">
        <f t="shared" si="105"/>
        <v>3161924.49</v>
      </c>
      <c r="L271" s="334"/>
      <c r="N271" s="515"/>
    </row>
    <row r="272" spans="1:14" s="143" customFormat="1" ht="18.75" hidden="1" customHeight="1" outlineLevel="1" x14ac:dyDescent="0.2">
      <c r="A272" s="375" t="s">
        <v>1177</v>
      </c>
      <c r="B272" s="375"/>
      <c r="C272" s="376" t="s">
        <v>405</v>
      </c>
      <c r="D272" s="371" t="s">
        <v>704</v>
      </c>
      <c r="E272" s="372">
        <v>1</v>
      </c>
      <c r="F272" s="374">
        <f>'Затраты подрядчика'!O291</f>
        <v>1674249.28</v>
      </c>
      <c r="G272" s="476">
        <f t="shared" si="85"/>
        <v>1.1025839</v>
      </c>
      <c r="H272" s="363">
        <f t="shared" ref="H272:H274" si="107">F272*G272</f>
        <v>1846000.3</v>
      </c>
      <c r="I272" s="498">
        <f t="shared" si="103"/>
        <v>1.0645064</v>
      </c>
      <c r="J272" s="501">
        <f>H272*I272+0.01</f>
        <v>1965079.14</v>
      </c>
      <c r="K272" s="502">
        <f>H272+(J272-H272)*(1-30/100)-0.01</f>
        <v>1929355.48</v>
      </c>
      <c r="L272" s="378"/>
      <c r="N272" s="515"/>
    </row>
    <row r="273" spans="1:15" s="143" customFormat="1" ht="21" hidden="1" customHeight="1" outlineLevel="1" x14ac:dyDescent="0.2">
      <c r="A273" s="375" t="s">
        <v>1178</v>
      </c>
      <c r="B273" s="375"/>
      <c r="C273" s="376" t="s">
        <v>407</v>
      </c>
      <c r="D273" s="371" t="s">
        <v>704</v>
      </c>
      <c r="E273" s="372">
        <v>1</v>
      </c>
      <c r="F273" s="374">
        <f>'Затраты подрядчика'!O292</f>
        <v>881750.15</v>
      </c>
      <c r="G273" s="476">
        <f t="shared" si="85"/>
        <v>1.1025839</v>
      </c>
      <c r="H273" s="363">
        <f t="shared" si="107"/>
        <v>972203.52000000002</v>
      </c>
      <c r="I273" s="498">
        <f t="shared" si="103"/>
        <v>1.0645064</v>
      </c>
      <c r="J273" s="381">
        <f t="shared" ref="J273:J285" si="108">H273*I273</f>
        <v>1034916.87</v>
      </c>
      <c r="K273" s="365">
        <f t="shared" ref="K273:K274" si="109">H273+(J273-H273)*(1-30/100)</f>
        <v>1016102.87</v>
      </c>
      <c r="L273" s="378"/>
      <c r="N273" s="515"/>
    </row>
    <row r="274" spans="1:15" ht="32.25" hidden="1" customHeight="1" outlineLevel="1" x14ac:dyDescent="0.2">
      <c r="A274" s="375" t="s">
        <v>1179</v>
      </c>
      <c r="B274" s="375" t="s">
        <v>284</v>
      </c>
      <c r="C274" s="382" t="s">
        <v>285</v>
      </c>
      <c r="D274" s="371" t="s">
        <v>704</v>
      </c>
      <c r="E274" s="372">
        <v>1</v>
      </c>
      <c r="F274" s="374">
        <f>'Затраты подрядчика'!O293</f>
        <v>187844.23</v>
      </c>
      <c r="G274" s="476">
        <f t="shared" ref="G274:G296" si="110">$G$303</f>
        <v>1.1025839</v>
      </c>
      <c r="H274" s="363">
        <f t="shared" si="107"/>
        <v>207114.02</v>
      </c>
      <c r="I274" s="498">
        <f t="shared" si="103"/>
        <v>1.0645064</v>
      </c>
      <c r="J274" s="381">
        <f t="shared" si="108"/>
        <v>220474.2</v>
      </c>
      <c r="K274" s="365">
        <f t="shared" si="109"/>
        <v>216466.15</v>
      </c>
      <c r="L274" s="377"/>
      <c r="N274" s="515"/>
    </row>
    <row r="275" spans="1:15" s="145" customFormat="1" ht="36.75" customHeight="1" collapsed="1" x14ac:dyDescent="0.2">
      <c r="A275" s="134" t="s">
        <v>687</v>
      </c>
      <c r="B275" s="134" t="s">
        <v>84</v>
      </c>
      <c r="C275" s="133" t="s">
        <v>641</v>
      </c>
      <c r="D275" s="319" t="s">
        <v>704</v>
      </c>
      <c r="E275" s="320">
        <v>1</v>
      </c>
      <c r="F275" s="150">
        <f>'Затраты подрядчика'!O312</f>
        <v>64632.1</v>
      </c>
      <c r="G275" s="476">
        <f t="shared" si="110"/>
        <v>1.1025839</v>
      </c>
      <c r="H275" s="196">
        <f t="shared" ref="H275:H285" si="111">F275*G275</f>
        <v>71262.31</v>
      </c>
      <c r="I275" s="498">
        <f t="shared" si="103"/>
        <v>1.0645064</v>
      </c>
      <c r="J275" s="180">
        <f t="shared" si="108"/>
        <v>75859.19</v>
      </c>
      <c r="K275" s="181">
        <f t="shared" ref="K275:K285" si="112">H275+(J275-H275)*(1-30/100)</f>
        <v>74480.13</v>
      </c>
      <c r="L275" s="181"/>
      <c r="N275" s="515"/>
    </row>
    <row r="276" spans="1:15" s="145" customFormat="1" ht="36.75" customHeight="1" x14ac:dyDescent="0.2">
      <c r="A276" s="134" t="s">
        <v>688</v>
      </c>
      <c r="B276" s="134" t="s">
        <v>86</v>
      </c>
      <c r="C276" s="133" t="s">
        <v>87</v>
      </c>
      <c r="D276" s="319" t="s">
        <v>704</v>
      </c>
      <c r="E276" s="320">
        <v>1</v>
      </c>
      <c r="F276" s="150">
        <f>'Затраты подрядчика'!O313</f>
        <v>579315.1</v>
      </c>
      <c r="G276" s="476">
        <f t="shared" si="110"/>
        <v>1.1025839</v>
      </c>
      <c r="H276" s="196">
        <f t="shared" ref="H276" si="113">F276*G276</f>
        <v>638743.5</v>
      </c>
      <c r="I276" s="498">
        <f t="shared" si="103"/>
        <v>1.0645064</v>
      </c>
      <c r="J276" s="180">
        <f t="shared" ref="J276" si="114">H276*I276</f>
        <v>679946.54</v>
      </c>
      <c r="K276" s="181">
        <f t="shared" ref="K276:K279" si="115">H276+(J276-H276)*(1-30/100)</f>
        <v>667585.63</v>
      </c>
      <c r="L276" s="181"/>
      <c r="N276" s="515"/>
    </row>
    <row r="277" spans="1:15" s="145" customFormat="1" ht="36.75" customHeight="1" x14ac:dyDescent="0.2">
      <c r="A277" s="134" t="s">
        <v>695</v>
      </c>
      <c r="B277" s="134" t="s">
        <v>88</v>
      </c>
      <c r="C277" s="133" t="s">
        <v>89</v>
      </c>
      <c r="D277" s="319" t="s">
        <v>704</v>
      </c>
      <c r="E277" s="320">
        <v>1</v>
      </c>
      <c r="F277" s="150">
        <f>'Затраты подрядчика'!O314</f>
        <v>228963907.90000001</v>
      </c>
      <c r="G277" s="476"/>
      <c r="H277" s="196">
        <f>H279+H280</f>
        <v>239047075.88</v>
      </c>
      <c r="I277" s="335"/>
      <c r="J277" s="180">
        <f>J279+J280</f>
        <v>246037962.33000001</v>
      </c>
      <c r="K277" s="181">
        <f>K279+K280</f>
        <v>243940696.40000001</v>
      </c>
      <c r="L277" s="181"/>
      <c r="M277" s="482">
        <v>138139074.55000001</v>
      </c>
      <c r="N277" s="578">
        <f>K277-M277</f>
        <v>105801621.84999999</v>
      </c>
      <c r="O277" s="576">
        <f>N277*1.02*1.2</f>
        <v>129501185.14</v>
      </c>
    </row>
    <row r="278" spans="1:15" s="145" customFormat="1" ht="36.75" customHeight="1" outlineLevel="1" x14ac:dyDescent="0.2">
      <c r="A278" s="326"/>
      <c r="B278" s="326"/>
      <c r="C278" s="477" t="s">
        <v>762</v>
      </c>
      <c r="D278" s="329"/>
      <c r="E278" s="330"/>
      <c r="F278" s="328"/>
      <c r="G278" s="478"/>
      <c r="H278" s="331"/>
      <c r="I278" s="332"/>
      <c r="J278" s="333"/>
      <c r="K278" s="334"/>
      <c r="L278" s="334"/>
      <c r="N278" s="515"/>
    </row>
    <row r="279" spans="1:15" s="145" customFormat="1" ht="48.75" customHeight="1" outlineLevel="1" x14ac:dyDescent="0.2">
      <c r="A279" s="326" t="s">
        <v>1113</v>
      </c>
      <c r="B279" s="326"/>
      <c r="C279" s="477" t="s">
        <v>1077</v>
      </c>
      <c r="D279" s="329" t="s">
        <v>704</v>
      </c>
      <c r="E279" s="330">
        <v>1</v>
      </c>
      <c r="F279" s="328">
        <f>F277-F280</f>
        <v>98291915.019999996</v>
      </c>
      <c r="G279" s="476">
        <f t="shared" si="110"/>
        <v>1.1025839</v>
      </c>
      <c r="H279" s="331">
        <f>F279*G279</f>
        <v>108375083</v>
      </c>
      <c r="I279" s="498">
        <f>$F$348</f>
        <v>1.0645064</v>
      </c>
      <c r="J279" s="333">
        <f>H279*I279</f>
        <v>115365969.45</v>
      </c>
      <c r="K279" s="334">
        <f t="shared" si="115"/>
        <v>113268703.52</v>
      </c>
      <c r="L279" s="334"/>
      <c r="M279" s="577">
        <f>K279/F279</f>
        <v>1.152370503</v>
      </c>
      <c r="N279" s="515"/>
    </row>
    <row r="280" spans="1:15" s="145" customFormat="1" ht="36.75" customHeight="1" outlineLevel="1" x14ac:dyDescent="0.2">
      <c r="A280" s="326" t="s">
        <v>1114</v>
      </c>
      <c r="B280" s="326"/>
      <c r="C280" s="477" t="s">
        <v>1076</v>
      </c>
      <c r="D280" s="329" t="s">
        <v>704</v>
      </c>
      <c r="E280" s="330">
        <v>1</v>
      </c>
      <c r="F280" s="328">
        <f>12110472*10.79</f>
        <v>130671992.88</v>
      </c>
      <c r="G280" s="478">
        <v>1</v>
      </c>
      <c r="H280" s="331">
        <f>F280*G280</f>
        <v>130671992.88</v>
      </c>
      <c r="I280" s="479">
        <v>1</v>
      </c>
      <c r="J280" s="333">
        <f>H280*I280</f>
        <v>130671992.88</v>
      </c>
      <c r="K280" s="334">
        <f t="shared" ref="K280" si="116">H280+(J280-H280)*(1-30/100)</f>
        <v>130671992.88</v>
      </c>
      <c r="L280" s="334"/>
      <c r="N280" s="515"/>
    </row>
    <row r="281" spans="1:15" s="145" customFormat="1" ht="31.5" x14ac:dyDescent="0.2">
      <c r="A281" s="134" t="s">
        <v>696</v>
      </c>
      <c r="B281" s="134" t="s">
        <v>90</v>
      </c>
      <c r="C281" s="133" t="s">
        <v>91</v>
      </c>
      <c r="D281" s="319" t="s">
        <v>704</v>
      </c>
      <c r="E281" s="320">
        <v>1</v>
      </c>
      <c r="F281" s="150">
        <f>'Затраты подрядчика'!O315</f>
        <v>6690600</v>
      </c>
      <c r="G281" s="476">
        <f t="shared" si="110"/>
        <v>1.1025839</v>
      </c>
      <c r="H281" s="196">
        <f t="shared" si="111"/>
        <v>7376947.8399999999</v>
      </c>
      <c r="I281" s="498">
        <f t="shared" ref="I281:I286" si="117">$F$348</f>
        <v>1.0645064</v>
      </c>
      <c r="J281" s="180">
        <f t="shared" si="108"/>
        <v>7852808.1900000004</v>
      </c>
      <c r="K281" s="181">
        <f t="shared" si="112"/>
        <v>7710050.0899999999</v>
      </c>
      <c r="L281" s="181"/>
      <c r="N281" s="515"/>
    </row>
    <row r="282" spans="1:15" s="145" customFormat="1" ht="24.75" customHeight="1" x14ac:dyDescent="0.2">
      <c r="A282" s="134" t="s">
        <v>697</v>
      </c>
      <c r="B282" s="134" t="s">
        <v>92</v>
      </c>
      <c r="C282" s="133" t="s">
        <v>642</v>
      </c>
      <c r="D282" s="319" t="s">
        <v>704</v>
      </c>
      <c r="E282" s="320">
        <v>1</v>
      </c>
      <c r="F282" s="150">
        <f>'Затраты подрядчика'!O316</f>
        <v>55089747.700000003</v>
      </c>
      <c r="G282" s="476">
        <f t="shared" si="110"/>
        <v>1.1025839</v>
      </c>
      <c r="H282" s="196">
        <f t="shared" si="111"/>
        <v>60741068.869999997</v>
      </c>
      <c r="I282" s="498">
        <f t="shared" si="117"/>
        <v>1.0645064</v>
      </c>
      <c r="J282" s="180">
        <f t="shared" si="108"/>
        <v>64659256.549999997</v>
      </c>
      <c r="K282" s="181">
        <f t="shared" si="112"/>
        <v>63483800.25</v>
      </c>
      <c r="L282" s="181"/>
      <c r="N282" s="515"/>
    </row>
    <row r="283" spans="1:15" s="145" customFormat="1" ht="23.25" customHeight="1" x14ac:dyDescent="0.2">
      <c r="A283" s="134" t="s">
        <v>698</v>
      </c>
      <c r="B283" s="134" t="s">
        <v>94</v>
      </c>
      <c r="C283" s="133" t="s">
        <v>95</v>
      </c>
      <c r="D283" s="319" t="s">
        <v>704</v>
      </c>
      <c r="E283" s="320">
        <v>1</v>
      </c>
      <c r="F283" s="150">
        <f>'Затраты подрядчика'!O317</f>
        <v>4542885</v>
      </c>
      <c r="G283" s="476">
        <f t="shared" si="110"/>
        <v>1.1025839</v>
      </c>
      <c r="H283" s="196">
        <f t="shared" si="111"/>
        <v>5008911.8600000003</v>
      </c>
      <c r="I283" s="498">
        <f t="shared" si="117"/>
        <v>1.0645064</v>
      </c>
      <c r="J283" s="180">
        <f t="shared" si="108"/>
        <v>5332018.7300000004</v>
      </c>
      <c r="K283" s="181">
        <f t="shared" si="112"/>
        <v>5235086.67</v>
      </c>
      <c r="L283" s="181"/>
      <c r="N283" s="515"/>
    </row>
    <row r="284" spans="1:15" s="145" customFormat="1" ht="39" customHeight="1" x14ac:dyDescent="0.2">
      <c r="A284" s="134" t="s">
        <v>1062</v>
      </c>
      <c r="B284" s="134" t="s">
        <v>96</v>
      </c>
      <c r="C284" s="133" t="s">
        <v>643</v>
      </c>
      <c r="D284" s="319" t="s">
        <v>704</v>
      </c>
      <c r="E284" s="320">
        <v>1</v>
      </c>
      <c r="F284" s="150">
        <f>'Затраты подрядчика'!O318</f>
        <v>146528.20000000001</v>
      </c>
      <c r="G284" s="476">
        <f t="shared" si="110"/>
        <v>1.1025839</v>
      </c>
      <c r="H284" s="196">
        <f t="shared" si="111"/>
        <v>161559.63</v>
      </c>
      <c r="I284" s="498">
        <f t="shared" si="117"/>
        <v>1.0645064</v>
      </c>
      <c r="J284" s="180">
        <f t="shared" si="108"/>
        <v>171981.26</v>
      </c>
      <c r="K284" s="181">
        <f t="shared" si="112"/>
        <v>168854.77</v>
      </c>
      <c r="L284" s="181"/>
      <c r="N284" s="515"/>
    </row>
    <row r="285" spans="1:15" s="145" customFormat="1" ht="38.25" customHeight="1" x14ac:dyDescent="0.2">
      <c r="A285" s="134" t="s">
        <v>1063</v>
      </c>
      <c r="B285" s="134" t="s">
        <v>98</v>
      </c>
      <c r="C285" s="133" t="s">
        <v>644</v>
      </c>
      <c r="D285" s="319" t="s">
        <v>704</v>
      </c>
      <c r="E285" s="320">
        <v>1</v>
      </c>
      <c r="F285" s="150">
        <f>'Затраты подрядчика'!O319</f>
        <v>5743629.9500000002</v>
      </c>
      <c r="G285" s="476">
        <f t="shared" si="110"/>
        <v>1.1025839</v>
      </c>
      <c r="H285" s="196">
        <f t="shared" si="111"/>
        <v>6332833.9100000001</v>
      </c>
      <c r="I285" s="498">
        <f t="shared" si="117"/>
        <v>1.0645064</v>
      </c>
      <c r="J285" s="180">
        <f t="shared" si="108"/>
        <v>6741342.2300000004</v>
      </c>
      <c r="K285" s="181">
        <f t="shared" si="112"/>
        <v>6618789.7300000004</v>
      </c>
      <c r="L285" s="181"/>
      <c r="N285" s="515"/>
    </row>
    <row r="286" spans="1:15" s="145" customFormat="1" ht="38.25" customHeight="1" x14ac:dyDescent="0.2">
      <c r="A286" s="134" t="s">
        <v>1064</v>
      </c>
      <c r="B286" s="134" t="s">
        <v>118</v>
      </c>
      <c r="C286" s="429" t="s">
        <v>1061</v>
      </c>
      <c r="D286" s="319" t="s">
        <v>704</v>
      </c>
      <c r="E286" s="320">
        <v>1</v>
      </c>
      <c r="F286" s="150">
        <f>'Затраты подрядчика'!O334-НМЦК!F14-НМЦК!F296</f>
        <v>25827437.07</v>
      </c>
      <c r="G286" s="476">
        <f t="shared" si="110"/>
        <v>1.1025839</v>
      </c>
      <c r="H286" s="196">
        <f t="shared" ref="H286" si="118">F286*G286</f>
        <v>28476916.289999999</v>
      </c>
      <c r="I286" s="498">
        <f t="shared" si="117"/>
        <v>1.0645064</v>
      </c>
      <c r="J286" s="180">
        <f t="shared" ref="J286" si="119">H286*I286</f>
        <v>30313859.640000001</v>
      </c>
      <c r="K286" s="181">
        <f t="shared" ref="K286" si="120">H286+(J286-H286)*(1-30/100)</f>
        <v>29762776.640000001</v>
      </c>
      <c r="L286" s="181">
        <f>(L16+L26+L77+L126+L192+L219+L225+L236)*0.02</f>
        <v>1958257.26</v>
      </c>
      <c r="N286" s="515"/>
    </row>
    <row r="287" spans="1:15" ht="22.5" customHeight="1" collapsed="1" x14ac:dyDescent="0.2">
      <c r="A287" s="182">
        <v>3</v>
      </c>
      <c r="B287" s="189"/>
      <c r="C287" s="183" t="s">
        <v>693</v>
      </c>
      <c r="D287" s="187" t="s">
        <v>704</v>
      </c>
      <c r="E287" s="188">
        <v>1</v>
      </c>
      <c r="F287" s="184">
        <f>F288+F292+F296</f>
        <v>12992993.380000001</v>
      </c>
      <c r="G287" s="480"/>
      <c r="H287" s="184">
        <f>H288+H292+H296</f>
        <v>14325865.310000001</v>
      </c>
      <c r="I287" s="344"/>
      <c r="J287" s="184">
        <f>J288+J292+J296</f>
        <v>15249975.310000001</v>
      </c>
      <c r="K287" s="184">
        <f>K288+K292+K296</f>
        <v>14972742.300000001</v>
      </c>
      <c r="L287" s="184"/>
      <c r="N287" s="515"/>
    </row>
    <row r="288" spans="1:15" s="145" customFormat="1" ht="31.5" x14ac:dyDescent="0.2">
      <c r="A288" s="134" t="s">
        <v>636</v>
      </c>
      <c r="B288" s="134" t="s">
        <v>80</v>
      </c>
      <c r="C288" s="133" t="s">
        <v>81</v>
      </c>
      <c r="D288" s="120" t="s">
        <v>704</v>
      </c>
      <c r="E288" s="119">
        <v>1</v>
      </c>
      <c r="F288" s="150">
        <f>SUM(F289:F291)</f>
        <v>7402004</v>
      </c>
      <c r="G288" s="476"/>
      <c r="H288" s="150">
        <f>SUM(H289:H291)</f>
        <v>8161330.4400000004</v>
      </c>
      <c r="I288" s="325"/>
      <c r="J288" s="150">
        <f>SUM(J289:J291)</f>
        <v>8687788.4900000002</v>
      </c>
      <c r="K288" s="150">
        <f>SUM(K289:K291)</f>
        <v>8529851.0700000003</v>
      </c>
      <c r="L288" s="150">
        <f>SUM(L289:L291)</f>
        <v>0</v>
      </c>
      <c r="N288" s="515"/>
    </row>
    <row r="289" spans="1:19" s="146" customFormat="1" ht="31.5" x14ac:dyDescent="0.2">
      <c r="A289" s="132" t="s">
        <v>690</v>
      </c>
      <c r="B289" s="132" t="s">
        <v>286</v>
      </c>
      <c r="C289" s="121" t="s">
        <v>287</v>
      </c>
      <c r="D289" s="120" t="s">
        <v>704</v>
      </c>
      <c r="E289" s="119">
        <v>1</v>
      </c>
      <c r="F289" s="151">
        <f>'Затраты подрядчика'!O305</f>
        <v>6646759.2000000002</v>
      </c>
      <c r="G289" s="476">
        <f t="shared" si="110"/>
        <v>1.1025839</v>
      </c>
      <c r="H289" s="174">
        <f t="shared" ref="H289:H296" si="121">F289*G289</f>
        <v>7328609.6799999997</v>
      </c>
      <c r="I289" s="498">
        <f>$F$348</f>
        <v>1.0645064</v>
      </c>
      <c r="J289" s="175">
        <f t="shared" ref="J289:J296" si="122">H289*I289</f>
        <v>7801351.9100000001</v>
      </c>
      <c r="K289" s="176">
        <f t="shared" ref="K289:K296" si="123">H289+(J289-H289)*(1-30/100)</f>
        <v>7659529.2400000002</v>
      </c>
      <c r="L289" s="176"/>
      <c r="N289" s="515"/>
    </row>
    <row r="290" spans="1:19" s="146" customFormat="1" ht="31.5" x14ac:dyDescent="0.2">
      <c r="A290" s="132" t="s">
        <v>689</v>
      </c>
      <c r="B290" s="132" t="s">
        <v>288</v>
      </c>
      <c r="C290" s="121" t="s">
        <v>289</v>
      </c>
      <c r="D290" s="120" t="s">
        <v>704</v>
      </c>
      <c r="E290" s="119">
        <v>1</v>
      </c>
      <c r="F290" s="151">
        <f>'Затраты подрядчика'!O306</f>
        <v>507688.8</v>
      </c>
      <c r="G290" s="476">
        <f t="shared" si="110"/>
        <v>1.1025839</v>
      </c>
      <c r="H290" s="174">
        <f t="shared" si="121"/>
        <v>559769.5</v>
      </c>
      <c r="I290" s="498">
        <f>$F$348</f>
        <v>1.0645064</v>
      </c>
      <c r="J290" s="175">
        <f t="shared" si="122"/>
        <v>595878.22</v>
      </c>
      <c r="K290" s="176">
        <f t="shared" si="123"/>
        <v>585045.6</v>
      </c>
      <c r="L290" s="176"/>
      <c r="N290" s="515"/>
    </row>
    <row r="291" spans="1:19" s="146" customFormat="1" ht="31.5" x14ac:dyDescent="0.2">
      <c r="A291" s="132" t="s">
        <v>691</v>
      </c>
      <c r="B291" s="132" t="s">
        <v>290</v>
      </c>
      <c r="C291" s="121" t="s">
        <v>291</v>
      </c>
      <c r="D291" s="120" t="s">
        <v>704</v>
      </c>
      <c r="E291" s="119">
        <v>1</v>
      </c>
      <c r="F291" s="151">
        <f>'Затраты подрядчика'!O307</f>
        <v>247556</v>
      </c>
      <c r="G291" s="476">
        <f t="shared" si="110"/>
        <v>1.1025839</v>
      </c>
      <c r="H291" s="174">
        <f t="shared" si="121"/>
        <v>272951.26</v>
      </c>
      <c r="I291" s="498">
        <f>$F$348</f>
        <v>1.0645064</v>
      </c>
      <c r="J291" s="175">
        <f t="shared" si="122"/>
        <v>290558.36</v>
      </c>
      <c r="K291" s="176">
        <f t="shared" si="123"/>
        <v>285276.23</v>
      </c>
      <c r="L291" s="176"/>
      <c r="N291" s="515"/>
    </row>
    <row r="292" spans="1:19" s="145" customFormat="1" ht="31.5" x14ac:dyDescent="0.2">
      <c r="A292" s="134" t="s">
        <v>637</v>
      </c>
      <c r="B292" s="134" t="s">
        <v>82</v>
      </c>
      <c r="C292" s="133" t="s">
        <v>83</v>
      </c>
      <c r="D292" s="120" t="s">
        <v>704</v>
      </c>
      <c r="E292" s="119">
        <v>1</v>
      </c>
      <c r="F292" s="150">
        <f>SUM(F293:F295)</f>
        <v>5336224.8</v>
      </c>
      <c r="G292" s="476"/>
      <c r="H292" s="150">
        <f>SUM(H293:H295)</f>
        <v>5883635.5499999998</v>
      </c>
      <c r="I292" s="325"/>
      <c r="J292" s="150">
        <f>SUM(J293:J295)</f>
        <v>6263167.7000000002</v>
      </c>
      <c r="K292" s="150">
        <f>SUM(K293:K295)</f>
        <v>6149308.0499999998</v>
      </c>
      <c r="L292" s="150">
        <f>SUM(L293:L295)</f>
        <v>0</v>
      </c>
      <c r="N292" s="515"/>
    </row>
    <row r="293" spans="1:19" s="146" customFormat="1" ht="31.5" x14ac:dyDescent="0.2">
      <c r="A293" s="132" t="s">
        <v>638</v>
      </c>
      <c r="B293" s="132" t="s">
        <v>295</v>
      </c>
      <c r="C293" s="121" t="s">
        <v>296</v>
      </c>
      <c r="D293" s="120" t="s">
        <v>704</v>
      </c>
      <c r="E293" s="119">
        <v>1</v>
      </c>
      <c r="F293" s="151">
        <f>'Затраты подрядчика'!O309</f>
        <v>4621894.4000000004</v>
      </c>
      <c r="G293" s="476">
        <f t="shared" si="110"/>
        <v>1.1025839</v>
      </c>
      <c r="H293" s="174">
        <f t="shared" si="121"/>
        <v>5096026.3499999996</v>
      </c>
      <c r="I293" s="498">
        <f>$F$348</f>
        <v>1.0645064</v>
      </c>
      <c r="J293" s="175">
        <f t="shared" si="122"/>
        <v>5424752.6600000001</v>
      </c>
      <c r="K293" s="176">
        <f t="shared" si="123"/>
        <v>5326134.7699999996</v>
      </c>
      <c r="L293" s="176"/>
      <c r="N293" s="515"/>
    </row>
    <row r="294" spans="1:19" s="148" customFormat="1" ht="31.5" x14ac:dyDescent="0.2">
      <c r="A294" s="132" t="s">
        <v>639</v>
      </c>
      <c r="B294" s="132" t="s">
        <v>297</v>
      </c>
      <c r="C294" s="147" t="s">
        <v>298</v>
      </c>
      <c r="D294" s="120" t="s">
        <v>704</v>
      </c>
      <c r="E294" s="119">
        <v>1</v>
      </c>
      <c r="F294" s="151">
        <f>'Затраты подрядчика'!O310</f>
        <v>507688.8</v>
      </c>
      <c r="G294" s="476">
        <f t="shared" si="110"/>
        <v>1.1025839</v>
      </c>
      <c r="H294" s="174">
        <f t="shared" si="121"/>
        <v>559769.5</v>
      </c>
      <c r="I294" s="498">
        <f>$F$348</f>
        <v>1.0645064</v>
      </c>
      <c r="J294" s="175">
        <f t="shared" si="122"/>
        <v>595878.22</v>
      </c>
      <c r="K294" s="176">
        <f t="shared" si="123"/>
        <v>585045.6</v>
      </c>
      <c r="L294" s="176"/>
      <c r="N294" s="515"/>
    </row>
    <row r="295" spans="1:19" s="148" customFormat="1" ht="31.5" x14ac:dyDescent="0.2">
      <c r="A295" s="132" t="s">
        <v>640</v>
      </c>
      <c r="B295" s="132" t="s">
        <v>299</v>
      </c>
      <c r="C295" s="147" t="s">
        <v>300</v>
      </c>
      <c r="D295" s="120" t="s">
        <v>704</v>
      </c>
      <c r="E295" s="119">
        <v>1</v>
      </c>
      <c r="F295" s="151">
        <f>'Затраты подрядчика'!O311</f>
        <v>206641.6</v>
      </c>
      <c r="G295" s="476">
        <f t="shared" si="110"/>
        <v>1.1025839</v>
      </c>
      <c r="H295" s="174">
        <f t="shared" si="121"/>
        <v>227839.7</v>
      </c>
      <c r="I295" s="498">
        <f>$F$348</f>
        <v>1.0645064</v>
      </c>
      <c r="J295" s="175">
        <f t="shared" si="122"/>
        <v>242536.82</v>
      </c>
      <c r="K295" s="176">
        <f t="shared" si="123"/>
        <v>238127.68</v>
      </c>
      <c r="L295" s="176"/>
      <c r="N295" s="515"/>
    </row>
    <row r="296" spans="1:19" s="148" customFormat="1" ht="30.75" customHeight="1" x14ac:dyDescent="0.2">
      <c r="A296" s="134" t="s">
        <v>1065</v>
      </c>
      <c r="B296" s="134" t="s">
        <v>118</v>
      </c>
      <c r="C296" s="429" t="s">
        <v>1061</v>
      </c>
      <c r="D296" s="319" t="s">
        <v>704</v>
      </c>
      <c r="E296" s="320">
        <v>1</v>
      </c>
      <c r="F296" s="150">
        <f>(F288+F292)*0.02</f>
        <v>254764.58</v>
      </c>
      <c r="G296" s="476">
        <f t="shared" si="110"/>
        <v>1.1025839</v>
      </c>
      <c r="H296" s="196">
        <f t="shared" si="121"/>
        <v>280899.32</v>
      </c>
      <c r="I296" s="498">
        <f>$F$348</f>
        <v>1.0645064</v>
      </c>
      <c r="J296" s="180">
        <f t="shared" si="122"/>
        <v>299019.12</v>
      </c>
      <c r="K296" s="181">
        <f t="shared" si="123"/>
        <v>293583.18</v>
      </c>
      <c r="L296" s="181"/>
      <c r="N296" s="515"/>
    </row>
    <row r="297" spans="1:19" customFormat="1" x14ac:dyDescent="0.25">
      <c r="A297" s="152"/>
      <c r="B297" s="152"/>
      <c r="C297" s="153" t="s">
        <v>645</v>
      </c>
      <c r="D297" s="153"/>
      <c r="E297" s="153"/>
      <c r="F297" s="154">
        <f>F12+F15+F287</f>
        <v>1392101404.8800001</v>
      </c>
      <c r="G297" s="155"/>
      <c r="H297" s="154">
        <f>H12+H15+H287</f>
        <v>1521503753.51</v>
      </c>
      <c r="I297" s="156"/>
      <c r="J297" s="154">
        <f>J12+J15+J287</f>
        <v>1608353705.28</v>
      </c>
      <c r="K297" s="154">
        <f>K12+K15+K287</f>
        <v>1582298719.8</v>
      </c>
      <c r="L297" s="154">
        <f>L12+L15+L287</f>
        <v>99871120.219999999</v>
      </c>
      <c r="M297" s="517"/>
    </row>
    <row r="298" spans="1:19" customFormat="1" x14ac:dyDescent="0.25">
      <c r="A298" s="157"/>
      <c r="B298" s="157"/>
      <c r="C298" s="153" t="s">
        <v>646</v>
      </c>
      <c r="D298" s="153"/>
      <c r="E298" s="153"/>
      <c r="F298" s="154">
        <f>F297*0.2</f>
        <v>278420280.98000002</v>
      </c>
      <c r="G298" s="155"/>
      <c r="H298" s="154">
        <f>H297*0.2</f>
        <v>304300750.69999999</v>
      </c>
      <c r="I298" s="158"/>
      <c r="J298" s="154">
        <f>J297*0.2</f>
        <v>321670741.06</v>
      </c>
      <c r="K298" s="154">
        <f>K297*0.2</f>
        <v>316459743.95999998</v>
      </c>
      <c r="L298" s="154">
        <f>L297*0.2</f>
        <v>19974224.039999999</v>
      </c>
    </row>
    <row r="299" spans="1:19" customFormat="1" x14ac:dyDescent="0.25">
      <c r="A299" s="157"/>
      <c r="B299" s="157"/>
      <c r="C299" s="153" t="s">
        <v>647</v>
      </c>
      <c r="D299" s="153"/>
      <c r="E299" s="153"/>
      <c r="F299" s="154">
        <f>F297+F298</f>
        <v>1670521685.8599999</v>
      </c>
      <c r="G299" s="155"/>
      <c r="H299" s="154">
        <f>H297+H298</f>
        <v>1825804504.21</v>
      </c>
      <c r="I299" s="158"/>
      <c r="J299" s="154">
        <f>J297+J298</f>
        <v>1930024446.3399999</v>
      </c>
      <c r="K299" s="154">
        <f>K297+K298</f>
        <v>1898758463.76</v>
      </c>
      <c r="L299" s="154">
        <f>L297+L298</f>
        <v>119845344.26000001</v>
      </c>
    </row>
    <row r="303" spans="1:19" ht="46.5" customHeight="1" x14ac:dyDescent="0.25">
      <c r="A303" s="645" t="s">
        <v>1091</v>
      </c>
      <c r="B303" s="645"/>
      <c r="C303" s="645"/>
      <c r="D303" s="645"/>
      <c r="E303" s="645"/>
      <c r="F303" s="645"/>
      <c r="G303" s="485">
        <f>G306*G307*G308</f>
        <v>1.1025839</v>
      </c>
      <c r="H303" s="472"/>
      <c r="J303" s="508"/>
      <c r="K303" s="508"/>
      <c r="L303" s="508"/>
      <c r="M303" s="508"/>
      <c r="N303" s="513"/>
      <c r="O303" s="511"/>
      <c r="P303" s="508"/>
      <c r="Q303" s="508"/>
      <c r="R303" s="508"/>
      <c r="S303" s="508"/>
    </row>
    <row r="304" spans="1:19" ht="31.5" customHeight="1" x14ac:dyDescent="0.25">
      <c r="C304" s="471"/>
      <c r="D304" s="472"/>
      <c r="E304" s="472"/>
      <c r="F304" s="472"/>
      <c r="G304" s="472"/>
      <c r="H304" s="472"/>
      <c r="J304" s="508"/>
      <c r="K304" s="509"/>
      <c r="L304" s="510"/>
      <c r="M304" s="509"/>
      <c r="N304" s="510"/>
      <c r="O304" s="509"/>
      <c r="P304" s="511"/>
      <c r="Q304" s="512"/>
      <c r="R304" s="512"/>
      <c r="S304" s="508"/>
    </row>
    <row r="305" spans="1:19" x14ac:dyDescent="0.25">
      <c r="A305" s="646" t="s">
        <v>1072</v>
      </c>
      <c r="B305" s="646"/>
      <c r="C305" s="646"/>
      <c r="D305" s="646"/>
      <c r="E305" s="646"/>
      <c r="F305" s="646"/>
      <c r="G305" s="109"/>
      <c r="H305" s="472"/>
      <c r="J305" s="508"/>
      <c r="K305" s="509"/>
      <c r="L305" s="510"/>
      <c r="M305" s="509"/>
      <c r="N305" s="508"/>
      <c r="O305" s="509"/>
      <c r="P305" s="508"/>
      <c r="Q305" s="508"/>
      <c r="R305" s="508"/>
      <c r="S305" s="508"/>
    </row>
    <row r="306" spans="1:19" x14ac:dyDescent="0.2">
      <c r="A306" s="643" t="s">
        <v>1073</v>
      </c>
      <c r="B306" s="643"/>
      <c r="C306" s="643"/>
      <c r="D306" s="643"/>
      <c r="E306" s="643"/>
      <c r="F306" s="643"/>
      <c r="G306" s="123">
        <f>101.63/100</f>
        <v>1.0163</v>
      </c>
      <c r="J306" s="508"/>
      <c r="K306" s="509"/>
      <c r="L306" s="510"/>
      <c r="M306" s="509"/>
      <c r="N306" s="510"/>
      <c r="O306" s="509"/>
      <c r="P306" s="511"/>
      <c r="Q306" s="512"/>
      <c r="R306" s="512"/>
      <c r="S306" s="508"/>
    </row>
    <row r="307" spans="1:19" x14ac:dyDescent="0.25">
      <c r="A307" s="603" t="s">
        <v>1238</v>
      </c>
      <c r="B307" s="603"/>
      <c r="C307" s="603"/>
      <c r="D307" s="603"/>
      <c r="E307" s="603"/>
      <c r="F307" s="603"/>
      <c r="G307" s="474">
        <f>108.49/100</f>
        <v>1.0849</v>
      </c>
      <c r="H307" s="474"/>
      <c r="J307" s="508"/>
      <c r="K307" s="509"/>
      <c r="L307" s="508"/>
      <c r="M307" s="509"/>
      <c r="N307" s="508"/>
      <c r="O307" s="509"/>
      <c r="P307" s="509"/>
      <c r="Q307" s="509"/>
      <c r="R307" s="512"/>
      <c r="S307" s="508"/>
    </row>
    <row r="308" spans="1:19" x14ac:dyDescent="0.2">
      <c r="A308" s="643" t="s">
        <v>1239</v>
      </c>
      <c r="B308" s="643"/>
      <c r="C308" s="643"/>
      <c r="D308" s="643"/>
      <c r="E308" s="643"/>
      <c r="F308" s="643"/>
      <c r="G308" s="475">
        <v>1</v>
      </c>
      <c r="J308" s="508"/>
      <c r="K308" s="509"/>
      <c r="L308" s="508"/>
      <c r="M308" s="509"/>
      <c r="N308" s="508"/>
      <c r="O308" s="509"/>
      <c r="P308" s="508"/>
      <c r="Q308" s="508"/>
      <c r="R308" s="508"/>
      <c r="S308" s="508"/>
    </row>
    <row r="309" spans="1:19" x14ac:dyDescent="0.2">
      <c r="J309" s="508"/>
      <c r="K309" s="509"/>
      <c r="L309" s="510"/>
      <c r="M309" s="509"/>
      <c r="N309" s="510"/>
      <c r="O309" s="509"/>
      <c r="P309" s="511"/>
      <c r="Q309" s="509"/>
      <c r="R309" s="512"/>
      <c r="S309" s="508"/>
    </row>
    <row r="310" spans="1:19" ht="15.75" customHeight="1" x14ac:dyDescent="0.2">
      <c r="A310" s="644" t="s">
        <v>1078</v>
      </c>
      <c r="B310" s="644"/>
      <c r="C310" s="644"/>
      <c r="D310" s="644"/>
      <c r="E310" s="644"/>
      <c r="F310" s="644"/>
      <c r="G310" s="644"/>
      <c r="J310" s="508"/>
      <c r="K310" s="508"/>
      <c r="L310" s="508"/>
      <c r="M310" s="508"/>
      <c r="N310" s="508"/>
      <c r="O310" s="508"/>
      <c r="P310" s="508"/>
      <c r="Q310" s="508"/>
      <c r="R310" s="508"/>
      <c r="S310" s="508"/>
    </row>
    <row r="311" spans="1:19" x14ac:dyDescent="0.2">
      <c r="A311" s="644"/>
      <c r="B311" s="644"/>
      <c r="C311" s="644"/>
      <c r="D311" s="644"/>
      <c r="E311" s="644"/>
      <c r="F311" s="644"/>
      <c r="G311" s="644"/>
      <c r="J311" s="508"/>
      <c r="K311" s="508"/>
      <c r="L311" s="508"/>
      <c r="M311" s="508"/>
      <c r="N311" s="508"/>
      <c r="O311" s="508"/>
      <c r="P311" s="512"/>
      <c r="Q311" s="508"/>
      <c r="R311" s="508"/>
      <c r="S311" s="508"/>
    </row>
    <row r="312" spans="1:19" x14ac:dyDescent="0.2">
      <c r="A312" s="473"/>
      <c r="B312" s="473"/>
      <c r="C312" s="473"/>
      <c r="D312" s="473"/>
      <c r="E312" s="473"/>
      <c r="F312" s="473"/>
      <c r="G312" s="473"/>
    </row>
    <row r="313" spans="1:19" x14ac:dyDescent="0.2">
      <c r="A313" s="473"/>
      <c r="B313" s="473"/>
      <c r="C313" s="473"/>
      <c r="D313" s="473"/>
      <c r="E313" s="473"/>
      <c r="F313" s="473"/>
      <c r="G313" s="473"/>
    </row>
    <row r="314" spans="1:19" x14ac:dyDescent="0.2">
      <c r="A314" s="641" t="s">
        <v>1106</v>
      </c>
      <c r="B314" s="641"/>
      <c r="C314" s="641"/>
      <c r="D314" s="641"/>
      <c r="E314" s="641"/>
      <c r="F314" s="641"/>
      <c r="G314" s="490"/>
      <c r="H314" s="490"/>
      <c r="I314" s="490"/>
    </row>
    <row r="315" spans="1:19" x14ac:dyDescent="0.2">
      <c r="A315" s="641"/>
      <c r="B315" s="641"/>
      <c r="C315" s="641"/>
      <c r="D315" s="641"/>
      <c r="E315" s="641"/>
      <c r="F315" s="641"/>
      <c r="G315" s="490"/>
      <c r="H315" s="490"/>
      <c r="I315" s="490"/>
      <c r="M315" s="507"/>
    </row>
    <row r="316" spans="1:19" customFormat="1" x14ac:dyDescent="0.25">
      <c r="A316" s="668" t="s">
        <v>1079</v>
      </c>
      <c r="B316" s="668"/>
      <c r="C316" s="668"/>
      <c r="D316" s="668"/>
      <c r="E316" s="668"/>
      <c r="F316" s="532">
        <v>44515</v>
      </c>
      <c r="G316" s="178"/>
    </row>
    <row r="317" spans="1:19" customFormat="1" x14ac:dyDescent="0.25">
      <c r="A317" s="663" t="s">
        <v>1080</v>
      </c>
      <c r="B317" s="664"/>
      <c r="C317" s="664"/>
      <c r="D317" s="664"/>
      <c r="E317" s="665"/>
      <c r="F317" s="533">
        <f>(F319-F318)/30.5</f>
        <v>8.5</v>
      </c>
      <c r="G317" s="178"/>
    </row>
    <row r="318" spans="1:19" customFormat="1" x14ac:dyDescent="0.25">
      <c r="A318" s="663" t="s">
        <v>1081</v>
      </c>
      <c r="B318" s="664"/>
      <c r="C318" s="664"/>
      <c r="D318" s="664"/>
      <c r="E318" s="665"/>
      <c r="F318" s="532">
        <f>F316+30.5</f>
        <v>44545.5</v>
      </c>
      <c r="G318" s="140"/>
      <c r="H318" s="123"/>
      <c r="M318" s="529">
        <v>44561</v>
      </c>
      <c r="N318" t="s">
        <v>1220</v>
      </c>
    </row>
    <row r="319" spans="1:19" customFormat="1" x14ac:dyDescent="0.25">
      <c r="A319" s="663" t="s">
        <v>1082</v>
      </c>
      <c r="B319" s="664"/>
      <c r="C319" s="664"/>
      <c r="D319" s="664"/>
      <c r="E319" s="665"/>
      <c r="F319" s="532">
        <f>График!D8</f>
        <v>44804</v>
      </c>
      <c r="G319" s="140"/>
      <c r="H319" s="123"/>
      <c r="M319" s="529">
        <v>44562</v>
      </c>
      <c r="N319" t="s">
        <v>1221</v>
      </c>
    </row>
    <row r="320" spans="1:19" customFormat="1" x14ac:dyDescent="0.25">
      <c r="A320" s="666" t="s">
        <v>1222</v>
      </c>
      <c r="B320" s="666"/>
      <c r="C320" s="666"/>
      <c r="D320" s="666"/>
      <c r="E320" s="666"/>
      <c r="F320" s="534">
        <f>(M318-F318)/30.5/F317</f>
        <v>0.06</v>
      </c>
      <c r="G320" s="178"/>
    </row>
    <row r="321" spans="1:14" customFormat="1" x14ac:dyDescent="0.25">
      <c r="A321" s="657" t="s">
        <v>1083</v>
      </c>
      <c r="B321" s="657"/>
      <c r="C321" s="657"/>
      <c r="D321" s="657"/>
      <c r="E321" s="657"/>
      <c r="F321" s="534">
        <f>1-F320</f>
        <v>0.94</v>
      </c>
      <c r="G321" s="178"/>
    </row>
    <row r="322" spans="1:14" customFormat="1" ht="25.5" customHeight="1" x14ac:dyDescent="0.25">
      <c r="A322" s="658" t="s">
        <v>1240</v>
      </c>
      <c r="B322" s="659"/>
      <c r="C322" s="659"/>
      <c r="D322" s="659"/>
      <c r="E322" s="660"/>
      <c r="F322" s="579">
        <v>1.054</v>
      </c>
      <c r="G322" s="178"/>
    </row>
    <row r="323" spans="1:14" customFormat="1" x14ac:dyDescent="0.25">
      <c r="A323" s="661" t="s">
        <v>1085</v>
      </c>
      <c r="B323" s="661"/>
      <c r="C323" s="661"/>
      <c r="D323" s="535">
        <f>F322</f>
        <v>1.054</v>
      </c>
      <c r="E323" s="536" t="s">
        <v>1086</v>
      </c>
      <c r="F323" s="537">
        <f>F322^(1/12)</f>
        <v>1.0043922999999999</v>
      </c>
      <c r="G323" s="178"/>
    </row>
    <row r="324" spans="1:14" customFormat="1" ht="33" customHeight="1" x14ac:dyDescent="0.25">
      <c r="A324" s="662" t="s">
        <v>1241</v>
      </c>
      <c r="B324" s="662"/>
      <c r="C324" s="662"/>
      <c r="D324" s="662"/>
      <c r="E324" s="662"/>
      <c r="F324" s="579">
        <v>1.0509999999999999</v>
      </c>
      <c r="G324" s="178"/>
    </row>
    <row r="325" spans="1:14" customFormat="1" x14ac:dyDescent="0.25">
      <c r="A325" s="661" t="s">
        <v>1088</v>
      </c>
      <c r="B325" s="661"/>
      <c r="C325" s="661"/>
      <c r="D325" s="535">
        <f>F324</f>
        <v>1.0509999999999999</v>
      </c>
      <c r="E325" s="536" t="s">
        <v>1086</v>
      </c>
      <c r="F325" s="537">
        <f>F324^(1/12)</f>
        <v>1.0041538000000001</v>
      </c>
      <c r="G325" s="178"/>
    </row>
    <row r="326" spans="1:14" customFormat="1" x14ac:dyDescent="0.25">
      <c r="A326" s="538" t="s">
        <v>1223</v>
      </c>
      <c r="B326" s="538"/>
      <c r="C326" s="652" t="str">
        <f>CONCATENATE("(",F323,"^",ROUND((F318-F316)/30.5,1),"+",F323,"^",ROUND((M318-F316)/30.5,1),")","/2")</f>
        <v>(1,0043923^1+1,0043923^1,5)/2</v>
      </c>
      <c r="D326" s="653"/>
      <c r="E326" s="654"/>
      <c r="F326" s="537">
        <f>(F323^ROUND((F318-F316)/30.5,1)+F323^ROUND((M318-F316)/30.5,1))/2</f>
        <v>1.0054940000000001</v>
      </c>
      <c r="G326" s="178"/>
    </row>
    <row r="327" spans="1:14" customFormat="1" ht="40.5" customHeight="1" x14ac:dyDescent="0.25">
      <c r="A327" s="538" t="s">
        <v>1089</v>
      </c>
      <c r="B327" s="538"/>
      <c r="C327" s="652" t="str">
        <f>CONCATENATE(F323,"^",ROUND((M319-F316)/30.5,1),"*","(",F325,"^1","+",F325,"^",ROUNDUP((F319-M319)/30.5,1),")","/2")</f>
        <v>1,0043923^1,5*(1,0041538^1+1,0041538^8)/2</v>
      </c>
      <c r="D327" s="653"/>
      <c r="E327" s="654"/>
      <c r="F327" s="537">
        <f>F323^ROUND((M319-F316)/30.5,1)*(F325^1+F325^ROUNDUP((F319-M319)/30.5,1))/"2"</f>
        <v>1.0256562</v>
      </c>
      <c r="G327" s="652"/>
      <c r="H327" s="653"/>
      <c r="I327" s="654"/>
    </row>
    <row r="328" spans="1:14" customFormat="1" ht="34.5" customHeight="1" x14ac:dyDescent="0.25">
      <c r="A328" s="655" t="s">
        <v>1090</v>
      </c>
      <c r="B328" s="656"/>
      <c r="C328" s="652" t="str">
        <f>CONCATENATE(F320,"*",F326,"+",F321,"*",F327)</f>
        <v>0,06*1,005494+0,94*1,0256562</v>
      </c>
      <c r="D328" s="653"/>
      <c r="E328" s="654"/>
      <c r="F328" s="543">
        <f>F320*F326+F321*F327</f>
        <v>1.0244465</v>
      </c>
      <c r="G328" s="178"/>
    </row>
    <row r="329" spans="1:14" x14ac:dyDescent="0.2">
      <c r="A329" s="539"/>
      <c r="B329" s="539"/>
      <c r="C329" s="540"/>
      <c r="D329" s="540"/>
      <c r="E329" s="540"/>
      <c r="F329" s="539"/>
      <c r="G329" s="140"/>
    </row>
    <row r="330" spans="1:14" x14ac:dyDescent="0.2">
      <c r="A330" s="539"/>
      <c r="B330" s="539"/>
      <c r="C330" s="540"/>
      <c r="D330" s="540"/>
      <c r="E330" s="540"/>
      <c r="F330" s="539"/>
      <c r="G330" s="140"/>
    </row>
    <row r="331" spans="1:14" x14ac:dyDescent="0.2">
      <c r="A331" s="539"/>
      <c r="B331" s="539"/>
      <c r="C331" s="540"/>
      <c r="D331" s="540"/>
      <c r="E331" s="540"/>
      <c r="F331" s="539"/>
      <c r="G331" s="140"/>
    </row>
    <row r="332" spans="1:14" x14ac:dyDescent="0.2">
      <c r="A332" s="667" t="s">
        <v>1107</v>
      </c>
      <c r="B332" s="667"/>
      <c r="C332" s="667"/>
      <c r="D332" s="667"/>
      <c r="E332" s="667"/>
      <c r="F332" s="667"/>
      <c r="G332" s="140"/>
    </row>
    <row r="333" spans="1:14" x14ac:dyDescent="0.2">
      <c r="A333" s="667"/>
      <c r="B333" s="667"/>
      <c r="C333" s="667"/>
      <c r="D333" s="667"/>
      <c r="E333" s="667"/>
      <c r="F333" s="667"/>
      <c r="G333" s="140"/>
    </row>
    <row r="334" spans="1:14" x14ac:dyDescent="0.25">
      <c r="A334" s="668" t="s">
        <v>1079</v>
      </c>
      <c r="B334" s="668"/>
      <c r="C334" s="668"/>
      <c r="D334" s="668"/>
      <c r="E334" s="668"/>
      <c r="F334" s="532">
        <f>F316</f>
        <v>44515</v>
      </c>
      <c r="G334" s="140"/>
      <c r="I334" s="109"/>
      <c r="J334" s="109"/>
      <c r="M334" s="492">
        <v>44561</v>
      </c>
      <c r="N334" s="493"/>
    </row>
    <row r="335" spans="1:14" x14ac:dyDescent="0.25">
      <c r="A335" s="663" t="s">
        <v>1080</v>
      </c>
      <c r="B335" s="664"/>
      <c r="C335" s="664"/>
      <c r="D335" s="664"/>
      <c r="E335" s="665"/>
      <c r="F335" s="541">
        <f>ROUND((F337-F336)/30.5,1)</f>
        <v>18</v>
      </c>
      <c r="G335" s="140"/>
      <c r="I335" s="109"/>
      <c r="J335" s="109"/>
      <c r="M335" s="493"/>
      <c r="N335" s="493"/>
    </row>
    <row r="336" spans="1:14" x14ac:dyDescent="0.25">
      <c r="A336" s="663" t="s">
        <v>1081</v>
      </c>
      <c r="B336" s="664"/>
      <c r="C336" s="664"/>
      <c r="D336" s="664"/>
      <c r="E336" s="665"/>
      <c r="F336" s="532">
        <f>График!C9</f>
        <v>44682</v>
      </c>
      <c r="G336" s="140"/>
      <c r="I336" s="109"/>
      <c r="J336" s="109"/>
      <c r="M336" s="491">
        <v>44562</v>
      </c>
      <c r="N336" s="492">
        <v>44926</v>
      </c>
    </row>
    <row r="337" spans="1:14" x14ac:dyDescent="0.25">
      <c r="A337" s="663" t="s">
        <v>1082</v>
      </c>
      <c r="B337" s="664"/>
      <c r="C337" s="664"/>
      <c r="D337" s="664"/>
      <c r="E337" s="665"/>
      <c r="F337" s="532">
        <f>График!D9</f>
        <v>45231</v>
      </c>
      <c r="G337" s="140"/>
      <c r="I337" s="109"/>
      <c r="J337" s="109"/>
      <c r="M337" s="491">
        <v>44927</v>
      </c>
      <c r="N337" s="493"/>
    </row>
    <row r="338" spans="1:14" x14ac:dyDescent="0.25">
      <c r="A338" s="666" t="s">
        <v>1083</v>
      </c>
      <c r="B338" s="666"/>
      <c r="C338" s="666"/>
      <c r="D338" s="666"/>
      <c r="E338" s="666"/>
      <c r="F338" s="534">
        <f>(N336-F336)/30.5/F335</f>
        <v>0.44</v>
      </c>
      <c r="G338" s="542"/>
      <c r="H338" s="493"/>
      <c r="I338" s="109"/>
      <c r="J338" s="109"/>
    </row>
    <row r="339" spans="1:14" x14ac:dyDescent="0.25">
      <c r="A339" s="657" t="s">
        <v>1108</v>
      </c>
      <c r="B339" s="657"/>
      <c r="C339" s="657"/>
      <c r="D339" s="657"/>
      <c r="E339" s="657"/>
      <c r="F339" s="534">
        <f>1-F338</f>
        <v>0.56000000000000005</v>
      </c>
      <c r="G339" s="542"/>
      <c r="H339" s="493"/>
      <c r="J339" s="109"/>
    </row>
    <row r="340" spans="1:14" ht="15.75" customHeight="1" x14ac:dyDescent="0.25">
      <c r="A340" s="658" t="s">
        <v>1240</v>
      </c>
      <c r="B340" s="659"/>
      <c r="C340" s="659"/>
      <c r="D340" s="659"/>
      <c r="E340" s="660"/>
      <c r="F340" s="579">
        <v>1.054</v>
      </c>
      <c r="G340" s="542"/>
      <c r="H340" s="493"/>
      <c r="I340" s="109"/>
      <c r="J340" s="109"/>
    </row>
    <row r="341" spans="1:14" x14ac:dyDescent="0.25">
      <c r="A341" s="661" t="s">
        <v>1085</v>
      </c>
      <c r="B341" s="661"/>
      <c r="C341" s="661"/>
      <c r="D341" s="535">
        <f>F340</f>
        <v>1.054</v>
      </c>
      <c r="E341" s="536" t="s">
        <v>1086</v>
      </c>
      <c r="F341" s="537">
        <f>F340^(1/12)</f>
        <v>1.0043922999999999</v>
      </c>
      <c r="G341" s="542"/>
      <c r="H341" s="493"/>
      <c r="I341" s="109"/>
      <c r="J341" s="109"/>
    </row>
    <row r="342" spans="1:14" ht="15.75" customHeight="1" x14ac:dyDescent="0.25">
      <c r="A342" s="662" t="s">
        <v>1241</v>
      </c>
      <c r="B342" s="662"/>
      <c r="C342" s="662"/>
      <c r="D342" s="662"/>
      <c r="E342" s="662"/>
      <c r="F342" s="579">
        <v>1.0509999999999999</v>
      </c>
      <c r="G342" s="542"/>
      <c r="H342" s="493"/>
      <c r="I342" s="109"/>
      <c r="J342" s="109"/>
    </row>
    <row r="343" spans="1:14" x14ac:dyDescent="0.25">
      <c r="A343" s="661" t="s">
        <v>1088</v>
      </c>
      <c r="B343" s="661"/>
      <c r="C343" s="661"/>
      <c r="D343" s="535">
        <f>F342</f>
        <v>1.0509999999999999</v>
      </c>
      <c r="E343" s="536" t="s">
        <v>1086</v>
      </c>
      <c r="F343" s="537">
        <f>F342^(1/12)</f>
        <v>1.0041538000000001</v>
      </c>
      <c r="G343" s="542"/>
      <c r="H343" s="493"/>
      <c r="I343" s="109"/>
      <c r="J343" s="109"/>
    </row>
    <row r="344" spans="1:14" ht="15.75" customHeight="1" x14ac:dyDescent="0.25">
      <c r="A344" s="662" t="s">
        <v>1242</v>
      </c>
      <c r="B344" s="662"/>
      <c r="C344" s="662"/>
      <c r="D344" s="662"/>
      <c r="E344" s="662"/>
      <c r="F344" s="579">
        <v>1.0489999999999999</v>
      </c>
      <c r="G344" s="542"/>
      <c r="H344" s="493"/>
      <c r="I344" s="109"/>
      <c r="J344" s="109"/>
    </row>
    <row r="345" spans="1:14" x14ac:dyDescent="0.25">
      <c r="A345" s="661" t="s">
        <v>1110</v>
      </c>
      <c r="B345" s="661"/>
      <c r="C345" s="661"/>
      <c r="D345" s="535">
        <f>F344</f>
        <v>1.0489999999999999</v>
      </c>
      <c r="E345" s="536" t="s">
        <v>1086</v>
      </c>
      <c r="F345" s="537">
        <f>F344^(1/12)</f>
        <v>1.0039944000000001</v>
      </c>
      <c r="G345" s="542"/>
      <c r="H345" s="493"/>
      <c r="I345" s="109"/>
      <c r="J345" s="109"/>
    </row>
    <row r="346" spans="1:14" ht="15.75" customHeight="1" x14ac:dyDescent="0.25">
      <c r="A346" s="538" t="s">
        <v>1089</v>
      </c>
      <c r="B346" s="538"/>
      <c r="C346" s="652" t="str">
        <f>CONCATENATE(F341,"^",ROUND((M334-F334)/30.5,1),"*",F343,"^",ROUNDUP((F336-M336)/30.5,1),"*","(",F343,"+",F343,"^",ROUND((N336-F336)/30.5,1),")/2")</f>
        <v>1,0043923^1,5*1,0041538^4*(1,0041538+1,0041538^8)/2</v>
      </c>
      <c r="D346" s="653"/>
      <c r="E346" s="654"/>
      <c r="F346" s="537">
        <f>F341^ROUND((M334-F334)/30.5,1)*F343^ROUNDUP((F336-M336)/30.5,1)*(F343+F343^ROUND((N336-F336)/30.5,1))/2</f>
        <v>1.0428042</v>
      </c>
      <c r="G346" s="542"/>
      <c r="H346" s="493"/>
      <c r="I346" s="109"/>
      <c r="J346" s="109"/>
    </row>
    <row r="347" spans="1:14" ht="15.75" customHeight="1" x14ac:dyDescent="0.25">
      <c r="A347" s="538" t="s">
        <v>1111</v>
      </c>
      <c r="B347" s="538"/>
      <c r="C347" s="652" t="str">
        <f>CONCATENATE(F341,"^",ROUND((M334-F334)/30.5,1),"*",F343,"^12*","(",F345,"+",F345,"^",ROUND((F337-M337)/30.5,0),")/2")</f>
        <v>1,0043923^1,5*1,0041538^12*(1,0039944+1,0039944^10)/2</v>
      </c>
      <c r="D347" s="653"/>
      <c r="E347" s="654"/>
      <c r="F347" s="537">
        <f>F341^ROUND((M334-F334)/30.5,1)*F343^12*(F345+F345^ROUND((F337-M337)/30.5,0))/2</f>
        <v>1.0815581000000001</v>
      </c>
      <c r="G347" s="542"/>
      <c r="H347" s="493"/>
      <c r="I347" s="109"/>
      <c r="J347" s="109"/>
    </row>
    <row r="348" spans="1:14" ht="15.75" customHeight="1" x14ac:dyDescent="0.25">
      <c r="A348" s="655" t="s">
        <v>1090</v>
      </c>
      <c r="B348" s="656"/>
      <c r="C348" s="652" t="str">
        <f>CONCATENATE(F338,"*",F346,"+",F339,"*",F347)</f>
        <v>0,44*1,0428042+0,56*1,0815581</v>
      </c>
      <c r="D348" s="653"/>
      <c r="E348" s="654"/>
      <c r="F348" s="543">
        <f>F338*F346+F339*F347</f>
        <v>1.0645064</v>
      </c>
      <c r="G348" s="542"/>
      <c r="H348" s="493"/>
      <c r="I348" s="109"/>
      <c r="J348" s="109"/>
    </row>
  </sheetData>
  <mergeCells count="43">
    <mergeCell ref="A1:K1"/>
    <mergeCell ref="C3:K3"/>
    <mergeCell ref="A7:K7"/>
    <mergeCell ref="A8:K8"/>
    <mergeCell ref="A317:E317"/>
    <mergeCell ref="A318:E318"/>
    <mergeCell ref="A319:E319"/>
    <mergeCell ref="A305:F305"/>
    <mergeCell ref="A303:F303"/>
    <mergeCell ref="A306:F306"/>
    <mergeCell ref="A307:F307"/>
    <mergeCell ref="A308:F308"/>
    <mergeCell ref="A310:G311"/>
    <mergeCell ref="A314:F315"/>
    <mergeCell ref="A316:E316"/>
    <mergeCell ref="A332:F333"/>
    <mergeCell ref="A334:E334"/>
    <mergeCell ref="A335:E335"/>
    <mergeCell ref="A336:E336"/>
    <mergeCell ref="A320:E320"/>
    <mergeCell ref="C347:E347"/>
    <mergeCell ref="A348:B348"/>
    <mergeCell ref="C348:E348"/>
    <mergeCell ref="A338:E338"/>
    <mergeCell ref="A339:E339"/>
    <mergeCell ref="A340:E340"/>
    <mergeCell ref="A342:E342"/>
    <mergeCell ref="A343:C343"/>
    <mergeCell ref="A337:E337"/>
    <mergeCell ref="A341:C341"/>
    <mergeCell ref="A344:E344"/>
    <mergeCell ref="A345:C345"/>
    <mergeCell ref="C346:E346"/>
    <mergeCell ref="A321:E321"/>
    <mergeCell ref="A322:E322"/>
    <mergeCell ref="A323:C323"/>
    <mergeCell ref="A324:E324"/>
    <mergeCell ref="A325:C325"/>
    <mergeCell ref="G327:I327"/>
    <mergeCell ref="C326:E326"/>
    <mergeCell ref="C327:E327"/>
    <mergeCell ref="A328:B328"/>
    <mergeCell ref="C328:E328"/>
  </mergeCells>
  <pageMargins left="0.43307086614173229" right="0.23622047244094491" top="0.31496062992125984" bottom="0.31496062992125984" header="0.51181102362204722" footer="0.51181102362204722"/>
  <pageSetup paperSize="9" scale="50" firstPageNumber="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E412"/>
  <sheetViews>
    <sheetView showGridLines="0" topLeftCell="A404" zoomScale="85" zoomScaleNormal="85" workbookViewId="0">
      <pane ySplit="9465" topLeftCell="A409"/>
      <selection activeCell="O268" activeCellId="4" sqref="O215 O225 O255 O261 O268"/>
      <selection pane="bottomLeft" activeCell="A35" sqref="A35"/>
    </sheetView>
  </sheetViews>
  <sheetFormatPr defaultColWidth="8.85546875" defaultRowHeight="12.75" outlineLevelRow="2" x14ac:dyDescent="0.2"/>
  <cols>
    <col min="1" max="1" width="7.42578125" style="11" customWidth="1"/>
    <col min="2" max="2" width="13.85546875" style="1" customWidth="1"/>
    <col min="3" max="3" width="36.7109375" style="1" customWidth="1"/>
    <col min="4" max="4" width="13.140625" style="10" customWidth="1"/>
    <col min="5" max="5" width="13" style="10" customWidth="1"/>
    <col min="6" max="6" width="13.28515625" style="10" customWidth="1"/>
    <col min="7" max="7" width="12.42578125" style="10" customWidth="1"/>
    <col min="8" max="8" width="13.85546875" style="10" customWidth="1"/>
    <col min="9" max="9" width="15.42578125" style="10" hidden="1" customWidth="1"/>
    <col min="10" max="10" width="10.85546875" style="2" hidden="1" customWidth="1"/>
    <col min="11" max="11" width="16.7109375" style="65" customWidth="1"/>
    <col min="12" max="12" width="17.42578125" style="65" customWidth="1"/>
    <col min="13" max="13" width="19" style="65" customWidth="1"/>
    <col min="14" max="14" width="16.7109375" style="65" customWidth="1"/>
    <col min="15" max="15" width="20.42578125" style="66" customWidth="1"/>
    <col min="16" max="16" width="13.85546875" style="4" customWidth="1"/>
    <col min="17" max="239" width="9.140625" style="4" customWidth="1"/>
    <col min="240" max="1007" width="9.140625" customWidth="1"/>
  </cols>
  <sheetData>
    <row r="1" spans="2:9" x14ac:dyDescent="0.2">
      <c r="D1" s="2"/>
      <c r="E1" s="2"/>
      <c r="F1" s="2"/>
      <c r="G1" s="2"/>
      <c r="H1" s="3" t="s">
        <v>0</v>
      </c>
      <c r="I1" s="3"/>
    </row>
    <row r="2" spans="2:9" ht="12.75" customHeight="1" x14ac:dyDescent="0.2">
      <c r="B2" s="1" t="s">
        <v>1</v>
      </c>
      <c r="C2" s="675" t="s">
        <v>2</v>
      </c>
      <c r="D2" s="675"/>
      <c r="E2" s="675"/>
      <c r="F2" s="675"/>
      <c r="G2" s="675"/>
      <c r="H2" s="2"/>
      <c r="I2" s="2"/>
    </row>
    <row r="3" spans="2:9" x14ac:dyDescent="0.2">
      <c r="C3" s="5"/>
      <c r="D3" s="6" t="s">
        <v>3</v>
      </c>
      <c r="E3" s="7"/>
      <c r="F3" s="8"/>
      <c r="G3" s="8"/>
      <c r="H3" s="2"/>
      <c r="I3" s="2"/>
    </row>
    <row r="4" spans="2:9" x14ac:dyDescent="0.2">
      <c r="B4" s="1" t="s">
        <v>4</v>
      </c>
      <c r="D4" s="2"/>
      <c r="E4" s="9"/>
      <c r="F4" s="2"/>
      <c r="G4" s="2"/>
      <c r="H4" s="2"/>
      <c r="I4" s="2"/>
    </row>
    <row r="5" spans="2:9" x14ac:dyDescent="0.2">
      <c r="D5" s="2"/>
      <c r="E5" s="9"/>
      <c r="F5" s="2"/>
      <c r="G5" s="2"/>
      <c r="H5" s="2"/>
      <c r="I5" s="2"/>
    </row>
    <row r="6" spans="2:9" x14ac:dyDescent="0.2">
      <c r="B6" s="1" t="s">
        <v>5</v>
      </c>
      <c r="D6" s="2"/>
      <c r="E6" s="9"/>
      <c r="F6" s="2"/>
      <c r="G6" s="2"/>
      <c r="H6" s="2"/>
      <c r="I6" s="2"/>
    </row>
    <row r="7" spans="2:9" x14ac:dyDescent="0.2">
      <c r="B7" s="1" t="s">
        <v>6</v>
      </c>
      <c r="D7" s="2"/>
      <c r="E7" s="2"/>
      <c r="F7" s="2"/>
      <c r="G7" s="2"/>
      <c r="H7" s="2"/>
      <c r="I7" s="2"/>
    </row>
    <row r="8" spans="2:9" x14ac:dyDescent="0.2">
      <c r="D8" s="2"/>
      <c r="E8" s="2"/>
      <c r="F8" s="2"/>
      <c r="G8" s="2"/>
      <c r="H8" s="2"/>
      <c r="I8" s="2"/>
    </row>
    <row r="9" spans="2:9" x14ac:dyDescent="0.2">
      <c r="B9" s="1" t="s">
        <v>7</v>
      </c>
      <c r="D9" s="2"/>
      <c r="E9" s="2"/>
      <c r="F9" s="2"/>
      <c r="G9" s="2"/>
      <c r="H9" s="2"/>
      <c r="I9" s="2"/>
    </row>
    <row r="10" spans="2:9" x14ac:dyDescent="0.2">
      <c r="B10" s="1" t="s">
        <v>8</v>
      </c>
      <c r="D10" s="2"/>
      <c r="E10" s="2"/>
      <c r="F10" s="2"/>
      <c r="G10" s="2"/>
      <c r="H10" s="2"/>
      <c r="I10" s="2"/>
    </row>
    <row r="11" spans="2:9" x14ac:dyDescent="0.2">
      <c r="D11" s="2"/>
      <c r="E11" s="2"/>
      <c r="F11" s="2"/>
      <c r="G11" s="2"/>
      <c r="H11" s="2"/>
      <c r="I11" s="2"/>
    </row>
    <row r="12" spans="2:9" x14ac:dyDescent="0.2">
      <c r="D12" s="2"/>
      <c r="E12" s="2"/>
      <c r="F12" s="2"/>
      <c r="G12" s="2"/>
      <c r="H12" s="2"/>
      <c r="I12" s="2"/>
    </row>
    <row r="13" spans="2:9" x14ac:dyDescent="0.2">
      <c r="D13" s="2"/>
      <c r="E13" s="2"/>
      <c r="F13" s="2"/>
      <c r="G13" s="2"/>
      <c r="H13" s="2"/>
      <c r="I13" s="2"/>
    </row>
    <row r="14" spans="2:9" x14ac:dyDescent="0.2">
      <c r="C14" s="676"/>
      <c r="D14" s="676"/>
      <c r="E14" s="676"/>
      <c r="F14" s="676"/>
      <c r="G14" s="676"/>
      <c r="H14" s="2"/>
      <c r="I14" s="2"/>
    </row>
    <row r="15" spans="2:9" x14ac:dyDescent="0.2">
      <c r="D15" s="9" t="s">
        <v>9</v>
      </c>
      <c r="F15" s="2"/>
      <c r="G15" s="2"/>
      <c r="H15" s="2"/>
      <c r="I15" s="2"/>
    </row>
    <row r="16" spans="2:9" x14ac:dyDescent="0.2">
      <c r="D16" s="2"/>
      <c r="E16" s="9"/>
      <c r="F16" s="2"/>
      <c r="G16" s="2"/>
      <c r="H16" s="2"/>
      <c r="I16" s="2"/>
    </row>
    <row r="17" spans="1:15" x14ac:dyDescent="0.2">
      <c r="B17" s="1" t="s">
        <v>10</v>
      </c>
      <c r="H17" s="2"/>
      <c r="I17" s="2"/>
    </row>
    <row r="18" spans="1:15" x14ac:dyDescent="0.2">
      <c r="G18" s="2"/>
      <c r="H18" s="2"/>
      <c r="I18" s="2"/>
    </row>
    <row r="19" spans="1:15" x14ac:dyDescent="0.2">
      <c r="D19" s="12" t="s">
        <v>11</v>
      </c>
      <c r="F19" s="2"/>
      <c r="G19" s="2"/>
      <c r="H19" s="2"/>
      <c r="I19" s="2"/>
    </row>
    <row r="20" spans="1:15" x14ac:dyDescent="0.2">
      <c r="D20" s="13"/>
      <c r="F20" s="2"/>
      <c r="G20" s="2"/>
      <c r="H20" s="2"/>
      <c r="I20" s="2"/>
    </row>
    <row r="21" spans="1:15" ht="27.95" customHeight="1" x14ac:dyDescent="0.2">
      <c r="A21" s="677" t="s">
        <v>12</v>
      </c>
      <c r="B21" s="677"/>
      <c r="C21" s="677"/>
      <c r="D21" s="677"/>
      <c r="E21" s="677"/>
      <c r="F21" s="677"/>
      <c r="G21" s="677"/>
      <c r="H21" s="677"/>
      <c r="I21" s="73"/>
    </row>
    <row r="22" spans="1:15" x14ac:dyDescent="0.2">
      <c r="D22" s="14" t="s">
        <v>13</v>
      </c>
      <c r="F22" s="2"/>
      <c r="G22" s="2"/>
      <c r="H22" s="2"/>
      <c r="I22" s="2"/>
    </row>
    <row r="23" spans="1:15" x14ac:dyDescent="0.2">
      <c r="H23" s="2"/>
      <c r="I23" s="2"/>
    </row>
    <row r="24" spans="1:15" ht="13.5" thickBot="1" x14ac:dyDescent="0.25">
      <c r="B24" s="1" t="s">
        <v>14</v>
      </c>
      <c r="D24" s="13"/>
      <c r="E24" s="2"/>
      <c r="F24" s="2"/>
      <c r="G24" s="2"/>
      <c r="H24" s="2"/>
      <c r="I24" s="2"/>
    </row>
    <row r="25" spans="1:15" ht="12.75" customHeight="1" x14ac:dyDescent="0.2">
      <c r="A25" s="678" t="s">
        <v>15</v>
      </c>
      <c r="B25" s="680" t="s">
        <v>16</v>
      </c>
      <c r="C25" s="680" t="s">
        <v>17</v>
      </c>
      <c r="D25" s="682" t="s">
        <v>18</v>
      </c>
      <c r="E25" s="682"/>
      <c r="F25" s="682"/>
      <c r="G25" s="682"/>
      <c r="H25" s="683" t="s">
        <v>19</v>
      </c>
      <c r="I25" s="74"/>
      <c r="J25" s="70"/>
      <c r="K25" s="692" t="s">
        <v>579</v>
      </c>
      <c r="L25" s="693"/>
      <c r="M25" s="694"/>
      <c r="N25" s="694"/>
      <c r="O25" s="695"/>
    </row>
    <row r="26" spans="1:15" ht="74.25" customHeight="1" x14ac:dyDescent="0.2">
      <c r="A26" s="679"/>
      <c r="B26" s="681"/>
      <c r="C26" s="681"/>
      <c r="D26" s="685" t="s">
        <v>20</v>
      </c>
      <c r="E26" s="685" t="s">
        <v>21</v>
      </c>
      <c r="F26" s="685" t="s">
        <v>22</v>
      </c>
      <c r="G26" s="685" t="s">
        <v>23</v>
      </c>
      <c r="H26" s="684"/>
      <c r="I26" s="74"/>
      <c r="J26" s="70"/>
      <c r="K26" s="696"/>
      <c r="L26" s="697"/>
      <c r="M26" s="697"/>
      <c r="N26" s="697"/>
      <c r="O26" s="698"/>
    </row>
    <row r="27" spans="1:15" ht="15.75" customHeight="1" x14ac:dyDescent="0.2">
      <c r="A27" s="679"/>
      <c r="B27" s="681"/>
      <c r="C27" s="681"/>
      <c r="D27" s="685"/>
      <c r="E27" s="685"/>
      <c r="F27" s="685"/>
      <c r="G27" s="685"/>
      <c r="H27" s="684"/>
      <c r="I27" s="74"/>
      <c r="J27" s="70"/>
      <c r="K27" s="699" t="s">
        <v>20</v>
      </c>
      <c r="L27" s="699" t="s">
        <v>21</v>
      </c>
      <c r="M27" s="700" t="s">
        <v>132</v>
      </c>
      <c r="N27" s="700" t="s">
        <v>194</v>
      </c>
      <c r="O27" s="701" t="s">
        <v>195</v>
      </c>
    </row>
    <row r="28" spans="1:15" ht="36" customHeight="1" x14ac:dyDescent="0.2">
      <c r="A28" s="679"/>
      <c r="B28" s="681"/>
      <c r="C28" s="681"/>
      <c r="D28" s="685"/>
      <c r="E28" s="685"/>
      <c r="F28" s="685"/>
      <c r="G28" s="685"/>
      <c r="H28" s="684"/>
      <c r="I28" s="74"/>
      <c r="J28" s="70"/>
      <c r="K28" s="699"/>
      <c r="L28" s="699"/>
      <c r="M28" s="700"/>
      <c r="N28" s="700"/>
      <c r="O28" s="701"/>
    </row>
    <row r="29" spans="1:15" ht="15.75" x14ac:dyDescent="0.2">
      <c r="A29" s="15">
        <v>1</v>
      </c>
      <c r="B29" s="16">
        <v>2</v>
      </c>
      <c r="C29" s="16">
        <v>3</v>
      </c>
      <c r="D29" s="17">
        <v>4</v>
      </c>
      <c r="E29" s="17">
        <v>5</v>
      </c>
      <c r="F29" s="17">
        <v>6</v>
      </c>
      <c r="G29" s="17">
        <v>7</v>
      </c>
      <c r="H29" s="18">
        <v>8</v>
      </c>
      <c r="I29" s="73"/>
      <c r="J29" s="70"/>
      <c r="K29" s="60"/>
      <c r="L29" s="60"/>
      <c r="M29" s="67"/>
      <c r="N29" s="67"/>
      <c r="O29" s="68"/>
    </row>
    <row r="30" spans="1:15" ht="12.75" customHeight="1" x14ac:dyDescent="0.2">
      <c r="A30" s="686" t="s">
        <v>24</v>
      </c>
      <c r="B30" s="687"/>
      <c r="C30" s="687"/>
      <c r="D30" s="687"/>
      <c r="E30" s="687"/>
      <c r="F30" s="687"/>
      <c r="G30" s="687"/>
      <c r="H30" s="688"/>
      <c r="I30" s="75"/>
      <c r="K30" s="64"/>
      <c r="L30" s="64"/>
      <c r="M30" s="64"/>
      <c r="N30" s="64"/>
      <c r="O30" s="61"/>
    </row>
    <row r="31" spans="1:15" s="234" customFormat="1" ht="17.25" customHeight="1" x14ac:dyDescent="0.2">
      <c r="A31" s="317">
        <v>1</v>
      </c>
      <c r="B31" s="268" t="s">
        <v>25</v>
      </c>
      <c r="C31" s="268" t="s">
        <v>26</v>
      </c>
      <c r="D31" s="270">
        <f>SUM(D32:D33)</f>
        <v>5272.04</v>
      </c>
      <c r="E31" s="270"/>
      <c r="F31" s="270"/>
      <c r="G31" s="269"/>
      <c r="H31" s="271">
        <f>D31+E31+F31+G31</f>
        <v>5272.04</v>
      </c>
      <c r="I31" s="272"/>
      <c r="J31" s="233"/>
      <c r="K31" s="273">
        <f>SUM(K32:K33)</f>
        <v>43975234.950000003</v>
      </c>
      <c r="L31" s="273">
        <f t="shared" ref="L31:N31" si="0">SUM(L32:L33)</f>
        <v>0</v>
      </c>
      <c r="M31" s="273">
        <f t="shared" si="0"/>
        <v>0</v>
      </c>
      <c r="N31" s="273">
        <f t="shared" si="0"/>
        <v>0</v>
      </c>
      <c r="O31" s="273">
        <f>SUM(K31:N31)</f>
        <v>43975234.950000003</v>
      </c>
    </row>
    <row r="32" spans="1:15" s="315" customFormat="1" ht="27.75" customHeight="1" outlineLevel="1" x14ac:dyDescent="0.2">
      <c r="A32" s="296" t="s">
        <v>452</v>
      </c>
      <c r="B32" s="297"/>
      <c r="C32" s="297" t="s">
        <v>454</v>
      </c>
      <c r="D32" s="298">
        <f>3652.97-0.01</f>
        <v>3652.96</v>
      </c>
      <c r="E32" s="298"/>
      <c r="F32" s="298"/>
      <c r="G32" s="299"/>
      <c r="H32" s="300"/>
      <c r="I32" s="301"/>
      <c r="J32" s="314"/>
      <c r="K32" s="308">
        <f>((D32)*1.023*1.01-(D32)*0.023*0.15)*8.1*1000</f>
        <v>30470135.710000001</v>
      </c>
      <c r="L32" s="308">
        <f>((E32)*1.023*1.01-(E32)*0.023*0.15)*8.1*1000</f>
        <v>0</v>
      </c>
      <c r="M32" s="308"/>
      <c r="N32" s="308"/>
      <c r="O32" s="308">
        <f t="shared" ref="O32:O33" si="1">SUM(K32:N32)</f>
        <v>30470135.710000001</v>
      </c>
    </row>
    <row r="33" spans="1:16" s="315" customFormat="1" ht="27" customHeight="1" outlineLevel="1" x14ac:dyDescent="0.2">
      <c r="A33" s="296" t="s">
        <v>453</v>
      </c>
      <c r="B33" s="297"/>
      <c r="C33" s="297" t="s">
        <v>455</v>
      </c>
      <c r="D33" s="298">
        <v>1619.08</v>
      </c>
      <c r="E33" s="298"/>
      <c r="F33" s="298"/>
      <c r="G33" s="299"/>
      <c r="H33" s="300"/>
      <c r="I33" s="301"/>
      <c r="J33" s="314"/>
      <c r="K33" s="308">
        <f>((D33)*1.023*1.01-(D33)*0.023*0.15)*8.1*1000</f>
        <v>13505099.24</v>
      </c>
      <c r="L33" s="308">
        <f>((E33)*1.023*1.01-(E33)*0.023*0.15)*8.1*1000</f>
        <v>0</v>
      </c>
      <c r="M33" s="308"/>
      <c r="N33" s="308"/>
      <c r="O33" s="308">
        <f t="shared" si="1"/>
        <v>13505099.24</v>
      </c>
    </row>
    <row r="34" spans="1:16" s="234" customFormat="1" ht="22.5" customHeight="1" x14ac:dyDescent="0.2">
      <c r="A34" s="317">
        <v>2</v>
      </c>
      <c r="B34" s="268" t="s">
        <v>27</v>
      </c>
      <c r="C34" s="268" t="s">
        <v>700</v>
      </c>
      <c r="D34" s="270">
        <f>SUM(D35:D36)</f>
        <v>560.4</v>
      </c>
      <c r="E34" s="270"/>
      <c r="F34" s="270"/>
      <c r="G34" s="269"/>
      <c r="H34" s="271">
        <f t="shared" ref="H34:H38" si="2">D34+E34+F34+G34</f>
        <v>560.4</v>
      </c>
      <c r="I34" s="272"/>
      <c r="J34" s="233"/>
      <c r="K34" s="273">
        <f>SUM(K35:K38)</f>
        <v>4674418.57</v>
      </c>
      <c r="L34" s="273"/>
      <c r="M34" s="273"/>
      <c r="N34" s="273"/>
      <c r="O34" s="273">
        <f>SUM(K34:N34)</f>
        <v>4674418.57</v>
      </c>
    </row>
    <row r="35" spans="1:16" s="315" customFormat="1" ht="14.25" customHeight="1" outlineLevel="1" x14ac:dyDescent="0.2">
      <c r="A35" s="296" t="s">
        <v>457</v>
      </c>
      <c r="B35" s="297"/>
      <c r="C35" s="297" t="s">
        <v>456</v>
      </c>
      <c r="D35" s="308">
        <f>215.9</f>
        <v>215.9</v>
      </c>
      <c r="E35" s="298"/>
      <c r="F35" s="298"/>
      <c r="G35" s="299"/>
      <c r="H35" s="300"/>
      <c r="I35" s="301"/>
      <c r="J35" s="314"/>
      <c r="K35" s="308">
        <f>((D35)*1.023*1.01-(D35)*0.023*0.15)*8.1*1000</f>
        <v>1800868.97</v>
      </c>
      <c r="L35" s="308"/>
      <c r="M35" s="308"/>
      <c r="N35" s="308"/>
      <c r="O35" s="308">
        <f t="shared" ref="O35:O36" si="3">SUM(K35:N35)</f>
        <v>1800868.97</v>
      </c>
    </row>
    <row r="36" spans="1:16" s="315" customFormat="1" ht="27.75" customHeight="1" outlineLevel="1" x14ac:dyDescent="0.2">
      <c r="A36" s="296" t="s">
        <v>458</v>
      </c>
      <c r="B36" s="297"/>
      <c r="C36" s="297" t="s">
        <v>459</v>
      </c>
      <c r="D36" s="308">
        <f>344.5</f>
        <v>344.5</v>
      </c>
      <c r="E36" s="298"/>
      <c r="F36" s="298"/>
      <c r="G36" s="299"/>
      <c r="H36" s="300"/>
      <c r="I36" s="301"/>
      <c r="J36" s="314"/>
      <c r="K36" s="308">
        <f>((D36)*1.023*1.01-(D36)*0.023*0.15)*8.1*1000</f>
        <v>2873549.6</v>
      </c>
      <c r="L36" s="308"/>
      <c r="M36" s="308"/>
      <c r="N36" s="308"/>
      <c r="O36" s="308">
        <f t="shared" si="3"/>
        <v>2873549.6</v>
      </c>
    </row>
    <row r="37" spans="1:16" s="283" customFormat="1" ht="40.5" customHeight="1" x14ac:dyDescent="0.2">
      <c r="A37" s="275">
        <v>3</v>
      </c>
      <c r="B37" s="276" t="s">
        <v>29</v>
      </c>
      <c r="C37" s="276" t="s">
        <v>30</v>
      </c>
      <c r="D37" s="277"/>
      <c r="E37" s="277"/>
      <c r="F37" s="277"/>
      <c r="G37" s="278">
        <f>ROUND((1673.31+6348.47)/4.35/1.266,2)</f>
        <v>1456.63</v>
      </c>
      <c r="H37" s="279">
        <f t="shared" si="2"/>
        <v>1456.63</v>
      </c>
      <c r="I37" s="280"/>
      <c r="J37" s="281"/>
      <c r="K37" s="282"/>
      <c r="L37" s="282"/>
      <c r="M37" s="282"/>
      <c r="N37" s="282">
        <f>G37*1.266*4.35*1000</f>
        <v>8021807.0700000003</v>
      </c>
      <c r="O37" s="282">
        <f t="shared" ref="O37:O38" si="4">SUM(K37:N37)</f>
        <v>8021807.0700000003</v>
      </c>
      <c r="P37" s="274">
        <f>N37*1.02</f>
        <v>8182243.21</v>
      </c>
    </row>
    <row r="38" spans="1:16" s="234" customFormat="1" ht="38.25" x14ac:dyDescent="0.2">
      <c r="A38" s="267">
        <v>4</v>
      </c>
      <c r="B38" s="268" t="s">
        <v>31</v>
      </c>
      <c r="C38" s="268" t="s">
        <v>32</v>
      </c>
      <c r="D38" s="269"/>
      <c r="E38" s="269"/>
      <c r="F38" s="269"/>
      <c r="G38" s="270">
        <f>ROUND(48238.26/1.2/10.79/1000,2)</f>
        <v>3.73</v>
      </c>
      <c r="H38" s="271">
        <f t="shared" si="2"/>
        <v>3.73</v>
      </c>
      <c r="I38" s="272"/>
      <c r="J38" s="233"/>
      <c r="K38" s="273"/>
      <c r="L38" s="273"/>
      <c r="M38" s="273"/>
      <c r="N38" s="273">
        <f>G38*10.79*1000</f>
        <v>40246.699999999997</v>
      </c>
      <c r="O38" s="273">
        <f t="shared" si="4"/>
        <v>40246.699999999997</v>
      </c>
      <c r="P38" s="274">
        <f>N38*1.02</f>
        <v>41051.629999999997</v>
      </c>
    </row>
    <row r="39" spans="1:16" s="4" customFormat="1" ht="27.95" customHeight="1" x14ac:dyDescent="0.2">
      <c r="A39" s="28"/>
      <c r="B39" s="673" t="s">
        <v>33</v>
      </c>
      <c r="C39" s="673"/>
      <c r="D39" s="32">
        <f>D31+D34+D37+D38</f>
        <v>5832.44</v>
      </c>
      <c r="E39" s="32">
        <f t="shared" ref="E39:G39" si="5">E31+E34+E37+E38</f>
        <v>0</v>
      </c>
      <c r="F39" s="32">
        <f t="shared" si="5"/>
        <v>0</v>
      </c>
      <c r="G39" s="32">
        <f t="shared" si="5"/>
        <v>1460.36</v>
      </c>
      <c r="H39" s="32">
        <f>H31+H34+H37+H38</f>
        <v>7292.8</v>
      </c>
      <c r="I39" s="77"/>
      <c r="J39" s="2"/>
      <c r="K39" s="69">
        <f>K31+K34+K37+K38</f>
        <v>48649653.520000003</v>
      </c>
      <c r="L39" s="69">
        <f t="shared" ref="L39:O39" si="6">L31+L34+L37+L38</f>
        <v>0</v>
      </c>
      <c r="M39" s="69">
        <f t="shared" si="6"/>
        <v>0</v>
      </c>
      <c r="N39" s="69">
        <f t="shared" si="6"/>
        <v>8062053.7699999996</v>
      </c>
      <c r="O39" s="69">
        <f t="shared" si="6"/>
        <v>56711707.289999999</v>
      </c>
    </row>
    <row r="40" spans="1:16" s="4" customFormat="1" ht="12.75" customHeight="1" x14ac:dyDescent="0.2">
      <c r="A40" s="686" t="s">
        <v>34</v>
      </c>
      <c r="B40" s="687"/>
      <c r="C40" s="687"/>
      <c r="D40" s="687"/>
      <c r="E40" s="687"/>
      <c r="F40" s="687"/>
      <c r="G40" s="687"/>
      <c r="H40" s="688"/>
      <c r="I40" s="75"/>
      <c r="J40" s="2"/>
      <c r="K40" s="61"/>
      <c r="L40" s="61"/>
      <c r="M40" s="61"/>
      <c r="N40" s="61"/>
      <c r="O40" s="61"/>
    </row>
    <row r="41" spans="1:16" s="265" customFormat="1" x14ac:dyDescent="0.2">
      <c r="A41" s="258">
        <v>5</v>
      </c>
      <c r="B41" s="179" t="s">
        <v>35</v>
      </c>
      <c r="C41" s="179" t="s">
        <v>36</v>
      </c>
      <c r="D41" s="266">
        <f>D42+D47+D51+D56+D62+D63+D69+D70+D75+D76+D80+D84+D87+D91</f>
        <v>18277.439999999999</v>
      </c>
      <c r="E41" s="259">
        <f t="shared" ref="E41:F41" si="7">E42+E47+E51+E56+E62+E63+E69+E70+E75+E76+E80+E84+E87+E91</f>
        <v>2923.68</v>
      </c>
      <c r="F41" s="266">
        <f t="shared" si="7"/>
        <v>2012.84</v>
      </c>
      <c r="G41" s="266"/>
      <c r="H41" s="266">
        <f>SUM(D41:G41)</f>
        <v>23213.96</v>
      </c>
      <c r="I41" s="262"/>
      <c r="J41" s="263"/>
      <c r="K41" s="266">
        <f>K42+K47+K51+K56+K62+K63+K69+K70+K75+K76+K80+K84+K87+K91</f>
        <v>152456111.50999999</v>
      </c>
      <c r="L41" s="266">
        <f t="shared" ref="L41:M41" si="8">L42+L47+L51+L56+L62+L63+L69+L70+L75+L76+L80+L84+L87+L91</f>
        <v>24387077.280000001</v>
      </c>
      <c r="M41" s="266">
        <f t="shared" si="8"/>
        <v>8232515.5999999996</v>
      </c>
      <c r="N41" s="264"/>
      <c r="O41" s="264">
        <f>SUM(K41:N41)</f>
        <v>185075704.38999999</v>
      </c>
    </row>
    <row r="42" spans="1:16" s="231" customFormat="1" x14ac:dyDescent="0.2">
      <c r="A42" s="284" t="s">
        <v>271</v>
      </c>
      <c r="B42" s="285"/>
      <c r="C42" s="285" t="s">
        <v>197</v>
      </c>
      <c r="D42" s="286">
        <f>SUM(D43:D46)</f>
        <v>4142.18</v>
      </c>
      <c r="E42" s="286"/>
      <c r="F42" s="286"/>
      <c r="G42" s="287"/>
      <c r="H42" s="288">
        <f>SUM(D42:G42)</f>
        <v>4142.18</v>
      </c>
      <c r="I42" s="289"/>
      <c r="J42" s="230"/>
      <c r="K42" s="286">
        <f>SUM(K43:K46)</f>
        <v>34550826.380000003</v>
      </c>
      <c r="L42" s="242"/>
      <c r="M42" s="242"/>
      <c r="N42" s="242"/>
      <c r="O42" s="242">
        <f t="shared" ref="O42:O91" si="9">SUM(K42:N42)</f>
        <v>34550826.380000003</v>
      </c>
    </row>
    <row r="43" spans="1:16" s="255" customFormat="1" ht="15" customHeight="1" outlineLevel="1" x14ac:dyDescent="0.2">
      <c r="A43" s="246" t="s">
        <v>348</v>
      </c>
      <c r="B43" s="247" t="s">
        <v>233</v>
      </c>
      <c r="C43" s="247" t="s">
        <v>345</v>
      </c>
      <c r="D43" s="248">
        <f>2044111/1000</f>
        <v>2044.11</v>
      </c>
      <c r="E43" s="248"/>
      <c r="F43" s="248"/>
      <c r="G43" s="249"/>
      <c r="H43" s="250"/>
      <c r="I43" s="251"/>
      <c r="J43" s="252"/>
      <c r="K43" s="253">
        <f t="shared" ref="K43:K45" si="10">((D43)*1.023*1.01-(D43)*0.023*0.15)*8.1*1000</f>
        <v>17050367.129999999</v>
      </c>
      <c r="L43" s="253"/>
      <c r="M43" s="253"/>
      <c r="N43" s="257"/>
      <c r="O43" s="257">
        <f t="shared" si="9"/>
        <v>17050367.129999999</v>
      </c>
    </row>
    <row r="44" spans="1:16" s="255" customFormat="1" outlineLevel="1" x14ac:dyDescent="0.2">
      <c r="A44" s="246" t="s">
        <v>349</v>
      </c>
      <c r="B44" s="247" t="s">
        <v>233</v>
      </c>
      <c r="C44" s="247" t="s">
        <v>346</v>
      </c>
      <c r="D44" s="248">
        <v>524.58000000000004</v>
      </c>
      <c r="E44" s="248"/>
      <c r="F44" s="248"/>
      <c r="G44" s="249"/>
      <c r="H44" s="250"/>
      <c r="I44" s="251"/>
      <c r="J44" s="252"/>
      <c r="K44" s="253">
        <f t="shared" si="10"/>
        <v>4375636.1399999997</v>
      </c>
      <c r="L44" s="253"/>
      <c r="M44" s="253"/>
      <c r="N44" s="257"/>
      <c r="O44" s="257">
        <f t="shared" si="9"/>
        <v>4375636.1399999997</v>
      </c>
    </row>
    <row r="45" spans="1:16" s="255" customFormat="1" outlineLevel="1" x14ac:dyDescent="0.2">
      <c r="A45" s="246" t="s">
        <v>350</v>
      </c>
      <c r="B45" s="247" t="s">
        <v>233</v>
      </c>
      <c r="C45" s="247" t="s">
        <v>347</v>
      </c>
      <c r="D45" s="248">
        <v>489.41</v>
      </c>
      <c r="E45" s="248"/>
      <c r="F45" s="248"/>
      <c r="G45" s="249"/>
      <c r="H45" s="250"/>
      <c r="I45" s="251"/>
      <c r="J45" s="252"/>
      <c r="K45" s="253">
        <f t="shared" si="10"/>
        <v>4082275.5</v>
      </c>
      <c r="L45" s="253"/>
      <c r="M45" s="253"/>
      <c r="N45" s="257"/>
      <c r="O45" s="257">
        <f t="shared" si="9"/>
        <v>4082275.5</v>
      </c>
    </row>
    <row r="46" spans="1:16" s="291" customFormat="1" ht="31.5" customHeight="1" outlineLevel="1" x14ac:dyDescent="0.2">
      <c r="A46" s="246" t="s">
        <v>881</v>
      </c>
      <c r="B46" s="247" t="s">
        <v>247</v>
      </c>
      <c r="C46" s="247" t="s">
        <v>248</v>
      </c>
      <c r="D46" s="248">
        <v>1084.08</v>
      </c>
      <c r="E46" s="248"/>
      <c r="F46" s="248"/>
      <c r="G46" s="249"/>
      <c r="H46" s="250">
        <f>SUM(D46:G46)</f>
        <v>1084.08</v>
      </c>
      <c r="I46" s="251"/>
      <c r="J46" s="290"/>
      <c r="K46" s="253">
        <f>((D46)*1.023*1.01-(D46)*0.023*0.15)*8.1*1000</f>
        <v>9042547.6099999994</v>
      </c>
      <c r="L46" s="253"/>
      <c r="M46" s="253"/>
      <c r="N46" s="253"/>
      <c r="O46" s="253">
        <f>SUM(K46:N46)</f>
        <v>9042547.6099999994</v>
      </c>
    </row>
    <row r="47" spans="1:16" s="231" customFormat="1" ht="25.5" x14ac:dyDescent="0.2">
      <c r="A47" s="284" t="s">
        <v>304</v>
      </c>
      <c r="B47" s="285" t="s">
        <v>234</v>
      </c>
      <c r="C47" s="285" t="s">
        <v>199</v>
      </c>
      <c r="D47" s="286">
        <f>SUM(D48:D50)</f>
        <v>1893.45</v>
      </c>
      <c r="E47" s="286">
        <f t="shared" ref="E47:F47" si="11">SUM(E48:E50)</f>
        <v>1652.78</v>
      </c>
      <c r="F47" s="286">
        <f t="shared" si="11"/>
        <v>0</v>
      </c>
      <c r="G47" s="287"/>
      <c r="H47" s="288">
        <f t="shared" ref="H47:H91" si="12">SUM(D47:G47)</f>
        <v>3546.23</v>
      </c>
      <c r="I47" s="289"/>
      <c r="J47" s="230"/>
      <c r="K47" s="242">
        <f t="shared" ref="K47" si="13">SUM(K48:K50)</f>
        <v>15793679.220000001</v>
      </c>
      <c r="L47" s="242">
        <f t="shared" ref="L47" si="14">SUM(L48:L50)</f>
        <v>13786198.289999999</v>
      </c>
      <c r="M47" s="242">
        <f t="shared" ref="M47" si="15">SUM(M48:M50)</f>
        <v>0</v>
      </c>
      <c r="N47" s="242"/>
      <c r="O47" s="242">
        <f t="shared" si="9"/>
        <v>29579877.510000002</v>
      </c>
    </row>
    <row r="48" spans="1:16" s="255" customFormat="1" ht="25.5" outlineLevel="1" x14ac:dyDescent="0.2">
      <c r="A48" s="246" t="s">
        <v>353</v>
      </c>
      <c r="B48" s="247"/>
      <c r="C48" s="247" t="s">
        <v>351</v>
      </c>
      <c r="D48" s="248">
        <f>1753.36+0.01</f>
        <v>1753.37</v>
      </c>
      <c r="E48" s="248"/>
      <c r="F48" s="248"/>
      <c r="G48" s="249"/>
      <c r="H48" s="250"/>
      <c r="I48" s="251"/>
      <c r="J48" s="252"/>
      <c r="K48" s="253">
        <f t="shared" ref="K48:L50" si="16">((D48)*1.023*1.01-(D48)*0.023*0.15)*8.1*1000</f>
        <v>14625241.4</v>
      </c>
      <c r="L48" s="253">
        <f t="shared" si="16"/>
        <v>0</v>
      </c>
      <c r="M48" s="253">
        <f>F48*4.09*1000</f>
        <v>0</v>
      </c>
      <c r="N48" s="257"/>
      <c r="O48" s="253">
        <f t="shared" si="9"/>
        <v>14625241.4</v>
      </c>
    </row>
    <row r="49" spans="1:15" s="255" customFormat="1" ht="16.5" customHeight="1" outlineLevel="1" x14ac:dyDescent="0.2">
      <c r="A49" s="246" t="s">
        <v>354</v>
      </c>
      <c r="B49" s="247"/>
      <c r="C49" s="247" t="s">
        <v>352</v>
      </c>
      <c r="D49" s="248">
        <v>140.08000000000001</v>
      </c>
      <c r="E49" s="248">
        <v>1652.78</v>
      </c>
      <c r="F49" s="248"/>
      <c r="G49" s="249"/>
      <c r="H49" s="250"/>
      <c r="I49" s="251"/>
      <c r="J49" s="252"/>
      <c r="K49" s="253">
        <f t="shared" si="16"/>
        <v>1168437.82</v>
      </c>
      <c r="L49" s="253">
        <f t="shared" si="16"/>
        <v>13786198.289999999</v>
      </c>
      <c r="M49" s="253">
        <f>F49*4.09*1000</f>
        <v>0</v>
      </c>
      <c r="N49" s="257"/>
      <c r="O49" s="253">
        <f t="shared" si="9"/>
        <v>14954636.109999999</v>
      </c>
    </row>
    <row r="50" spans="1:15" s="255" customFormat="1" ht="15" outlineLevel="1" x14ac:dyDescent="0.2">
      <c r="A50" s="246" t="s">
        <v>355</v>
      </c>
      <c r="B50" s="247"/>
      <c r="C50" s="247" t="s">
        <v>343</v>
      </c>
      <c r="D50" s="248"/>
      <c r="E50" s="248"/>
      <c r="F50" s="172">
        <f>333129.58*0</f>
        <v>0</v>
      </c>
      <c r="G50" s="249"/>
      <c r="H50" s="250"/>
      <c r="I50" s="251">
        <f>F50*4.09*1.02*1.2</f>
        <v>0</v>
      </c>
      <c r="J50" s="252"/>
      <c r="K50" s="253">
        <f t="shared" si="16"/>
        <v>0</v>
      </c>
      <c r="L50" s="253">
        <f t="shared" si="16"/>
        <v>0</v>
      </c>
      <c r="M50" s="162">
        <f>F50*1000*4.09</f>
        <v>0</v>
      </c>
      <c r="N50" s="257"/>
      <c r="O50" s="253">
        <f t="shared" si="9"/>
        <v>0</v>
      </c>
    </row>
    <row r="51" spans="1:15" s="231" customFormat="1" x14ac:dyDescent="0.2">
      <c r="A51" s="284" t="s">
        <v>305</v>
      </c>
      <c r="B51" s="285"/>
      <c r="C51" s="285" t="s">
        <v>201</v>
      </c>
      <c r="D51" s="286">
        <f>SUM(D52:D55)</f>
        <v>0.6</v>
      </c>
      <c r="E51" s="286">
        <f>SUM(E52:E55)</f>
        <v>737.5</v>
      </c>
      <c r="F51" s="286"/>
      <c r="G51" s="287"/>
      <c r="H51" s="288">
        <f>SUM(D51:G51)</f>
        <v>738.1</v>
      </c>
      <c r="I51" s="289"/>
      <c r="J51" s="230"/>
      <c r="K51" s="242">
        <f>SUM(K52:K55)</f>
        <v>5004.7299999999996</v>
      </c>
      <c r="L51" s="242">
        <f>SUM(L52:L55)</f>
        <v>6151648.2800000003</v>
      </c>
      <c r="M51" s="242"/>
      <c r="N51" s="242"/>
      <c r="O51" s="242">
        <f t="shared" si="9"/>
        <v>6156653.0099999998</v>
      </c>
    </row>
    <row r="52" spans="1:15" s="255" customFormat="1" outlineLevel="1" x14ac:dyDescent="0.2">
      <c r="A52" s="246" t="s">
        <v>357</v>
      </c>
      <c r="B52" s="247" t="s">
        <v>235</v>
      </c>
      <c r="C52" s="247" t="s">
        <v>356</v>
      </c>
      <c r="D52" s="248">
        <f>461/1000</f>
        <v>0.46</v>
      </c>
      <c r="E52" s="248">
        <f>84416/1000</f>
        <v>84.42</v>
      </c>
      <c r="F52" s="248"/>
      <c r="G52" s="249"/>
      <c r="H52" s="250">
        <f t="shared" ref="H52:H54" si="17">SUM(D52:G52)</f>
        <v>84.88</v>
      </c>
      <c r="I52" s="251"/>
      <c r="J52" s="252"/>
      <c r="K52" s="253">
        <f t="shared" ref="K52:L54" si="18">((D52)*1.023*1.01-(D52)*0.023*0.15)*8.1*1000</f>
        <v>3836.96</v>
      </c>
      <c r="L52" s="253">
        <f t="shared" si="18"/>
        <v>704165.62</v>
      </c>
      <c r="M52" s="253"/>
      <c r="N52" s="257"/>
      <c r="O52" s="253">
        <f t="shared" si="9"/>
        <v>708002.58</v>
      </c>
    </row>
    <row r="53" spans="1:15" s="255" customFormat="1" outlineLevel="1" x14ac:dyDescent="0.2">
      <c r="A53" s="246" t="s">
        <v>358</v>
      </c>
      <c r="B53" s="247" t="s">
        <v>235</v>
      </c>
      <c r="C53" s="247" t="s">
        <v>360</v>
      </c>
      <c r="D53" s="248"/>
      <c r="E53" s="248">
        <f>49835/1000</f>
        <v>49.84</v>
      </c>
      <c r="F53" s="248"/>
      <c r="G53" s="249"/>
      <c r="H53" s="250">
        <f t="shared" si="17"/>
        <v>49.84</v>
      </c>
      <c r="I53" s="251"/>
      <c r="J53" s="252"/>
      <c r="K53" s="253">
        <f t="shared" si="18"/>
        <v>0</v>
      </c>
      <c r="L53" s="253">
        <f t="shared" si="18"/>
        <v>415726.31</v>
      </c>
      <c r="M53" s="253"/>
      <c r="N53" s="257"/>
      <c r="O53" s="253">
        <f t="shared" si="9"/>
        <v>415726.31</v>
      </c>
    </row>
    <row r="54" spans="1:15" s="255" customFormat="1" outlineLevel="1" x14ac:dyDescent="0.2">
      <c r="A54" s="246" t="s">
        <v>359</v>
      </c>
      <c r="B54" s="247" t="s">
        <v>235</v>
      </c>
      <c r="C54" s="247" t="s">
        <v>361</v>
      </c>
      <c r="D54" s="248"/>
      <c r="E54" s="248">
        <f>603246/1000-0.01</f>
        <v>603.24</v>
      </c>
      <c r="F54" s="248"/>
      <c r="G54" s="249"/>
      <c r="H54" s="250">
        <f t="shared" si="17"/>
        <v>603.24</v>
      </c>
      <c r="I54" s="251"/>
      <c r="J54" s="252"/>
      <c r="K54" s="253">
        <f t="shared" si="18"/>
        <v>0</v>
      </c>
      <c r="L54" s="253">
        <f t="shared" si="18"/>
        <v>5031756.3499999996</v>
      </c>
      <c r="M54" s="253"/>
      <c r="N54" s="257"/>
      <c r="O54" s="253">
        <f t="shared" si="9"/>
        <v>5031756.3499999996</v>
      </c>
    </row>
    <row r="55" spans="1:15" s="291" customFormat="1" ht="31.5" customHeight="1" outlineLevel="1" x14ac:dyDescent="0.2">
      <c r="A55" s="246" t="s">
        <v>883</v>
      </c>
      <c r="B55" s="247" t="s">
        <v>249</v>
      </c>
      <c r="C55" s="247" t="s">
        <v>250</v>
      </c>
      <c r="D55" s="248">
        <v>0.14000000000000001</v>
      </c>
      <c r="E55" s="248"/>
      <c r="F55" s="248"/>
      <c r="G55" s="249"/>
      <c r="H55" s="250">
        <f>SUM(D55:G55)</f>
        <v>0.14000000000000001</v>
      </c>
      <c r="I55" s="251"/>
      <c r="J55" s="290"/>
      <c r="K55" s="253">
        <f>((D55)*1.023*1.01-(D55)*0.023*0.15)*8.1*1000</f>
        <v>1167.77</v>
      </c>
      <c r="L55" s="253">
        <f>((E55)*1.023*1.01-(E55)*0.023*0.15)*8.1*1000</f>
        <v>0</v>
      </c>
      <c r="M55" s="253"/>
      <c r="N55" s="253"/>
      <c r="O55" s="253">
        <f>SUM(K55:N55)</f>
        <v>1167.77</v>
      </c>
    </row>
    <row r="56" spans="1:15" s="231" customFormat="1" ht="25.5" x14ac:dyDescent="0.2">
      <c r="A56" s="284" t="s">
        <v>306</v>
      </c>
      <c r="B56" s="285"/>
      <c r="C56" s="285" t="s">
        <v>203</v>
      </c>
      <c r="D56" s="286">
        <f>SUM(D57:D61)</f>
        <v>85.75</v>
      </c>
      <c r="E56" s="286">
        <f t="shared" ref="E56:F56" si="19">SUM(E57:E61)</f>
        <v>20.64</v>
      </c>
      <c r="F56" s="286">
        <f t="shared" si="19"/>
        <v>647.55999999999995</v>
      </c>
      <c r="G56" s="287"/>
      <c r="H56" s="288">
        <f t="shared" si="12"/>
        <v>753.95</v>
      </c>
      <c r="I56" s="289"/>
      <c r="J56" s="230"/>
      <c r="K56" s="242">
        <f>SUM(K57:K61)</f>
        <v>715259.44</v>
      </c>
      <c r="L56" s="242">
        <f t="shared" ref="L56:M56" si="20">SUM(L57:L61)</f>
        <v>172162.74</v>
      </c>
      <c r="M56" s="242">
        <f t="shared" si="20"/>
        <v>2648520.4</v>
      </c>
      <c r="N56" s="242"/>
      <c r="O56" s="242">
        <f t="shared" si="9"/>
        <v>3535942.58</v>
      </c>
    </row>
    <row r="57" spans="1:15" s="255" customFormat="1" outlineLevel="1" x14ac:dyDescent="0.2">
      <c r="A57" s="246" t="s">
        <v>363</v>
      </c>
      <c r="B57" s="247" t="s">
        <v>236</v>
      </c>
      <c r="C57" s="247" t="s">
        <v>362</v>
      </c>
      <c r="D57" s="248">
        <f>58263/1000</f>
        <v>58.26</v>
      </c>
      <c r="E57" s="248"/>
      <c r="F57" s="248"/>
      <c r="G57" s="249"/>
      <c r="H57" s="250"/>
      <c r="I57" s="251"/>
      <c r="J57" s="252"/>
      <c r="K57" s="253">
        <f t="shared" ref="K57:L62" si="21">((D57)*1.023*1.01-(D57)*0.023*0.15)*8.1*1000</f>
        <v>485959.36</v>
      </c>
      <c r="L57" s="253">
        <f t="shared" si="21"/>
        <v>0</v>
      </c>
      <c r="M57" s="253">
        <f t="shared" ref="M57:M62" si="22">F57*4.09*1000</f>
        <v>0</v>
      </c>
      <c r="N57" s="257"/>
      <c r="O57" s="253">
        <f t="shared" si="9"/>
        <v>485959.36</v>
      </c>
    </row>
    <row r="58" spans="1:15" s="255" customFormat="1" outlineLevel="1" x14ac:dyDescent="0.2">
      <c r="A58" s="246" t="s">
        <v>366</v>
      </c>
      <c r="B58" s="247" t="s">
        <v>236</v>
      </c>
      <c r="C58" s="247" t="s">
        <v>364</v>
      </c>
      <c r="D58" s="248"/>
      <c r="E58" s="248">
        <f>20129/1000</f>
        <v>20.13</v>
      </c>
      <c r="F58" s="248">
        <f>612266/1000</f>
        <v>612.27</v>
      </c>
      <c r="G58" s="249"/>
      <c r="H58" s="250"/>
      <c r="I58" s="251"/>
      <c r="J58" s="252"/>
      <c r="K58" s="253">
        <f t="shared" si="21"/>
        <v>0</v>
      </c>
      <c r="L58" s="253">
        <f t="shared" si="21"/>
        <v>167908.72</v>
      </c>
      <c r="M58" s="253">
        <f t="shared" si="22"/>
        <v>2504184.2999999998</v>
      </c>
      <c r="N58" s="257"/>
      <c r="O58" s="253">
        <f t="shared" si="9"/>
        <v>2672093.02</v>
      </c>
    </row>
    <row r="59" spans="1:15" s="255" customFormat="1" outlineLevel="1" x14ac:dyDescent="0.2">
      <c r="A59" s="246" t="s">
        <v>367</v>
      </c>
      <c r="B59" s="247" t="s">
        <v>236</v>
      </c>
      <c r="C59" s="247" t="s">
        <v>365</v>
      </c>
      <c r="D59" s="248">
        <f>5140/1000</f>
        <v>5.14</v>
      </c>
      <c r="E59" s="248">
        <f>506/1000</f>
        <v>0.51</v>
      </c>
      <c r="F59" s="248">
        <f>18193/1000</f>
        <v>18.190000000000001</v>
      </c>
      <c r="G59" s="249"/>
      <c r="H59" s="250"/>
      <c r="I59" s="251"/>
      <c r="J59" s="252"/>
      <c r="K59" s="253">
        <f t="shared" si="21"/>
        <v>42873.86</v>
      </c>
      <c r="L59" s="253">
        <f t="shared" si="21"/>
        <v>4254.0200000000004</v>
      </c>
      <c r="M59" s="253">
        <f t="shared" si="22"/>
        <v>74397.100000000006</v>
      </c>
      <c r="N59" s="257"/>
      <c r="O59" s="253">
        <f t="shared" si="9"/>
        <v>121524.98</v>
      </c>
    </row>
    <row r="60" spans="1:15" s="291" customFormat="1" outlineLevel="1" x14ac:dyDescent="0.2">
      <c r="A60" s="246" t="s">
        <v>369</v>
      </c>
      <c r="B60" s="247" t="s">
        <v>236</v>
      </c>
      <c r="C60" s="247" t="s">
        <v>368</v>
      </c>
      <c r="D60" s="248">
        <v>0.47</v>
      </c>
      <c r="E60" s="248"/>
      <c r="F60" s="248">
        <v>17.100000000000001</v>
      </c>
      <c r="G60" s="249"/>
      <c r="H60" s="250"/>
      <c r="I60" s="251"/>
      <c r="J60" s="290"/>
      <c r="K60" s="253">
        <f t="shared" si="21"/>
        <v>3920.37</v>
      </c>
      <c r="L60" s="253">
        <f t="shared" si="21"/>
        <v>0</v>
      </c>
      <c r="M60" s="253">
        <f t="shared" si="22"/>
        <v>69939</v>
      </c>
      <c r="N60" s="253"/>
      <c r="O60" s="253">
        <f t="shared" si="9"/>
        <v>73859.37</v>
      </c>
    </row>
    <row r="61" spans="1:15" s="291" customFormat="1" ht="31.5" customHeight="1" outlineLevel="1" x14ac:dyDescent="0.2">
      <c r="A61" s="246" t="s">
        <v>882</v>
      </c>
      <c r="B61" s="247" t="s">
        <v>251</v>
      </c>
      <c r="C61" s="247" t="s">
        <v>252</v>
      </c>
      <c r="D61" s="248">
        <v>21.88</v>
      </c>
      <c r="E61" s="248"/>
      <c r="F61" s="248"/>
      <c r="G61" s="249"/>
      <c r="H61" s="250">
        <f>SUM(D61:G61)</f>
        <v>21.88</v>
      </c>
      <c r="I61" s="251"/>
      <c r="J61" s="290"/>
      <c r="K61" s="253">
        <f>((D61)*1.023*1.01-(D61)*0.023*0.15)*8.1*1000</f>
        <v>182505.85</v>
      </c>
      <c r="L61" s="253">
        <f>((E61)*1.023*1.01-(E61)*0.023*0.15)*8.1*1000</f>
        <v>0</v>
      </c>
      <c r="M61" s="253">
        <f t="shared" si="22"/>
        <v>0</v>
      </c>
      <c r="N61" s="253"/>
      <c r="O61" s="253">
        <f>SUM(K61:N61)</f>
        <v>182505.85</v>
      </c>
    </row>
    <row r="62" spans="1:15" s="231" customFormat="1" ht="25.5" x14ac:dyDescent="0.2">
      <c r="A62" s="284" t="s">
        <v>307</v>
      </c>
      <c r="B62" s="285" t="s">
        <v>237</v>
      </c>
      <c r="C62" s="285" t="s">
        <v>205</v>
      </c>
      <c r="D62" s="286"/>
      <c r="E62" s="286">
        <v>12.2</v>
      </c>
      <c r="F62" s="286">
        <v>8.4600000000000009</v>
      </c>
      <c r="G62" s="287"/>
      <c r="H62" s="288">
        <f t="shared" si="12"/>
        <v>20.66</v>
      </c>
      <c r="I62" s="289"/>
      <c r="J62" s="230"/>
      <c r="K62" s="242">
        <f t="shared" si="21"/>
        <v>0</v>
      </c>
      <c r="L62" s="242">
        <f t="shared" si="21"/>
        <v>101762.86</v>
      </c>
      <c r="M62" s="242">
        <f t="shared" si="22"/>
        <v>34601.4</v>
      </c>
      <c r="N62" s="242"/>
      <c r="O62" s="242">
        <f t="shared" si="9"/>
        <v>136364.26</v>
      </c>
    </row>
    <row r="63" spans="1:15" s="231" customFormat="1" ht="25.5" x14ac:dyDescent="0.2">
      <c r="A63" s="284" t="s">
        <v>308</v>
      </c>
      <c r="B63" s="285"/>
      <c r="C63" s="285" t="s">
        <v>207</v>
      </c>
      <c r="D63" s="286">
        <f>SUM(D64:D68)</f>
        <v>167.84</v>
      </c>
      <c r="E63" s="286">
        <f t="shared" ref="E63:F63" si="23">SUM(E64:E68)</f>
        <v>29.48</v>
      </c>
      <c r="F63" s="286">
        <f t="shared" si="23"/>
        <v>1011.14</v>
      </c>
      <c r="G63" s="287"/>
      <c r="H63" s="288">
        <f t="shared" si="12"/>
        <v>1208.46</v>
      </c>
      <c r="I63" s="289"/>
      <c r="J63" s="230"/>
      <c r="K63" s="242">
        <f>SUM(K64:K68)</f>
        <v>1399990.03</v>
      </c>
      <c r="L63" s="242">
        <f t="shared" ref="L63:M63" si="24">SUM(L64:L68)</f>
        <v>245924.13</v>
      </c>
      <c r="M63" s="242">
        <f t="shared" si="24"/>
        <v>4135562.6</v>
      </c>
      <c r="N63" s="242"/>
      <c r="O63" s="242">
        <f t="shared" si="9"/>
        <v>5781476.7599999998</v>
      </c>
    </row>
    <row r="64" spans="1:15" s="255" customFormat="1" outlineLevel="1" x14ac:dyDescent="0.2">
      <c r="A64" s="246" t="s">
        <v>370</v>
      </c>
      <c r="B64" s="247" t="s">
        <v>238</v>
      </c>
      <c r="C64" s="247" t="s">
        <v>362</v>
      </c>
      <c r="D64" s="248">
        <v>90.66</v>
      </c>
      <c r="E64" s="248"/>
      <c r="F64" s="248"/>
      <c r="G64" s="249"/>
      <c r="H64" s="250"/>
      <c r="I64" s="251"/>
      <c r="J64" s="252"/>
      <c r="K64" s="253">
        <f t="shared" ref="K64:L69" si="25">((D64)*1.023*1.01-(D64)*0.023*0.15)*8.1*1000</f>
        <v>756214.82</v>
      </c>
      <c r="L64" s="253">
        <f t="shared" si="25"/>
        <v>0</v>
      </c>
      <c r="M64" s="253">
        <f t="shared" ref="M64:M69" si="26">F64*4.09*1000</f>
        <v>0</v>
      </c>
      <c r="N64" s="257"/>
      <c r="O64" s="253">
        <f t="shared" si="9"/>
        <v>756214.82</v>
      </c>
    </row>
    <row r="65" spans="1:15" s="255" customFormat="1" outlineLevel="1" x14ac:dyDescent="0.2">
      <c r="A65" s="246" t="s">
        <v>371</v>
      </c>
      <c r="B65" s="247" t="s">
        <v>238</v>
      </c>
      <c r="C65" s="247" t="s">
        <v>364</v>
      </c>
      <c r="D65" s="248"/>
      <c r="E65" s="248">
        <v>28.71</v>
      </c>
      <c r="F65" s="248">
        <v>983.09</v>
      </c>
      <c r="G65" s="249"/>
      <c r="H65" s="250"/>
      <c r="I65" s="251"/>
      <c r="J65" s="252"/>
      <c r="K65" s="253">
        <f t="shared" si="25"/>
        <v>0</v>
      </c>
      <c r="L65" s="253">
        <f t="shared" si="25"/>
        <v>239476.37</v>
      </c>
      <c r="M65" s="253">
        <f t="shared" si="26"/>
        <v>4020838.1</v>
      </c>
      <c r="N65" s="257"/>
      <c r="O65" s="253">
        <f t="shared" si="9"/>
        <v>4260314.47</v>
      </c>
    </row>
    <row r="66" spans="1:15" s="255" customFormat="1" outlineLevel="1" x14ac:dyDescent="0.2">
      <c r="A66" s="246" t="s">
        <v>372</v>
      </c>
      <c r="B66" s="247" t="s">
        <v>238</v>
      </c>
      <c r="C66" s="247" t="s">
        <v>365</v>
      </c>
      <c r="D66" s="248">
        <v>41.06</v>
      </c>
      <c r="E66" s="318">
        <v>0.77300000000000002</v>
      </c>
      <c r="F66" s="248">
        <v>13.69</v>
      </c>
      <c r="G66" s="249"/>
      <c r="H66" s="250"/>
      <c r="I66" s="251"/>
      <c r="J66" s="252"/>
      <c r="K66" s="253">
        <f t="shared" si="25"/>
        <v>342490.41</v>
      </c>
      <c r="L66" s="253">
        <f t="shared" si="25"/>
        <v>6447.76</v>
      </c>
      <c r="M66" s="253">
        <f t="shared" si="26"/>
        <v>55992.1</v>
      </c>
      <c r="N66" s="257"/>
      <c r="O66" s="253">
        <f t="shared" si="9"/>
        <v>404930.27</v>
      </c>
    </row>
    <row r="67" spans="1:15" s="255" customFormat="1" outlineLevel="1" x14ac:dyDescent="0.2">
      <c r="A67" s="246" t="s">
        <v>373</v>
      </c>
      <c r="B67" s="247" t="s">
        <v>238</v>
      </c>
      <c r="C67" s="247" t="s">
        <v>368</v>
      </c>
      <c r="D67" s="248">
        <v>0.5</v>
      </c>
      <c r="E67" s="248"/>
      <c r="F67" s="248">
        <v>14.36</v>
      </c>
      <c r="G67" s="249"/>
      <c r="H67" s="250"/>
      <c r="I67" s="251"/>
      <c r="J67" s="252"/>
      <c r="K67" s="253">
        <f t="shared" si="25"/>
        <v>4170.6099999999997</v>
      </c>
      <c r="L67" s="253">
        <f t="shared" si="25"/>
        <v>0</v>
      </c>
      <c r="M67" s="253">
        <f t="shared" si="26"/>
        <v>58732.4</v>
      </c>
      <c r="N67" s="257"/>
      <c r="O67" s="253">
        <f t="shared" si="9"/>
        <v>62903.01</v>
      </c>
    </row>
    <row r="68" spans="1:15" s="291" customFormat="1" ht="31.5" customHeight="1" outlineLevel="1" x14ac:dyDescent="0.2">
      <c r="A68" s="246" t="s">
        <v>884</v>
      </c>
      <c r="B68" s="247" t="s">
        <v>253</v>
      </c>
      <c r="C68" s="247" t="s">
        <v>254</v>
      </c>
      <c r="D68" s="248">
        <v>35.619999999999997</v>
      </c>
      <c r="E68" s="248"/>
      <c r="F68" s="248"/>
      <c r="G68" s="249"/>
      <c r="H68" s="250">
        <f>SUM(D68:G68)</f>
        <v>35.619999999999997</v>
      </c>
      <c r="I68" s="251"/>
      <c r="J68" s="290"/>
      <c r="K68" s="253">
        <f>((D68)*1.023*1.01-(D68)*0.023*0.15)*8.1*1000</f>
        <v>297114.19</v>
      </c>
      <c r="L68" s="253">
        <f>((E68)*1.023*1.01-(E68)*0.023*0.15)*8.1*1000</f>
        <v>0</v>
      </c>
      <c r="M68" s="253">
        <f t="shared" si="26"/>
        <v>0</v>
      </c>
      <c r="N68" s="253"/>
      <c r="O68" s="253">
        <f>SUM(K68:N68)</f>
        <v>297114.19</v>
      </c>
    </row>
    <row r="69" spans="1:15" s="231" customFormat="1" ht="25.5" x14ac:dyDescent="0.2">
      <c r="A69" s="284" t="s">
        <v>309</v>
      </c>
      <c r="B69" s="285" t="s">
        <v>239</v>
      </c>
      <c r="C69" s="285" t="s">
        <v>209</v>
      </c>
      <c r="D69" s="286"/>
      <c r="E69" s="286">
        <v>51.61</v>
      </c>
      <c r="F69" s="286">
        <v>15.6</v>
      </c>
      <c r="G69" s="287"/>
      <c r="H69" s="288">
        <f t="shared" si="12"/>
        <v>67.209999999999994</v>
      </c>
      <c r="I69" s="289"/>
      <c r="J69" s="230"/>
      <c r="K69" s="242">
        <f t="shared" si="25"/>
        <v>0</v>
      </c>
      <c r="L69" s="242">
        <f t="shared" si="25"/>
        <v>430490.26</v>
      </c>
      <c r="M69" s="242">
        <f t="shared" si="26"/>
        <v>63804</v>
      </c>
      <c r="N69" s="242"/>
      <c r="O69" s="242">
        <f t="shared" si="9"/>
        <v>494294.26</v>
      </c>
    </row>
    <row r="70" spans="1:15" s="231" customFormat="1" ht="24.75" customHeight="1" x14ac:dyDescent="0.2">
      <c r="A70" s="284" t="s">
        <v>310</v>
      </c>
      <c r="B70" s="285"/>
      <c r="C70" s="285" t="s">
        <v>211</v>
      </c>
      <c r="D70" s="286">
        <f>SUM(D71:D74)</f>
        <v>11977.57</v>
      </c>
      <c r="E70" s="286">
        <f>SUM(E71:E74)</f>
        <v>11.95</v>
      </c>
      <c r="F70" s="286"/>
      <c r="G70" s="287"/>
      <c r="H70" s="288">
        <f t="shared" si="12"/>
        <v>11989.52</v>
      </c>
      <c r="I70" s="289"/>
      <c r="J70" s="230"/>
      <c r="K70" s="242">
        <f>SUM(K71:K74)</f>
        <v>99907522.469999999</v>
      </c>
      <c r="L70" s="242">
        <f>SUM(L71:L74)</f>
        <v>99677.56</v>
      </c>
      <c r="M70" s="242"/>
      <c r="N70" s="242"/>
      <c r="O70" s="242">
        <f t="shared" si="9"/>
        <v>100007200.03</v>
      </c>
    </row>
    <row r="71" spans="1:15" s="255" customFormat="1" outlineLevel="1" x14ac:dyDescent="0.2">
      <c r="A71" s="246" t="s">
        <v>375</v>
      </c>
      <c r="B71" s="247" t="s">
        <v>240</v>
      </c>
      <c r="C71" s="247" t="s">
        <v>374</v>
      </c>
      <c r="D71" s="248">
        <v>5490.28</v>
      </c>
      <c r="E71" s="248"/>
      <c r="F71" s="248"/>
      <c r="G71" s="249"/>
      <c r="H71" s="250"/>
      <c r="I71" s="251"/>
      <c r="J71" s="252"/>
      <c r="K71" s="253">
        <f t="shared" ref="K71:L75" si="27">((D71)*1.023*1.01-(D71)*0.023*0.15)*8.1*1000</f>
        <v>45795622.359999999</v>
      </c>
      <c r="L71" s="253">
        <f t="shared" si="27"/>
        <v>0</v>
      </c>
      <c r="M71" s="253"/>
      <c r="N71" s="257"/>
      <c r="O71" s="253">
        <f t="shared" si="9"/>
        <v>45795622.359999999</v>
      </c>
    </row>
    <row r="72" spans="1:15" s="255" customFormat="1" outlineLevel="1" x14ac:dyDescent="0.2">
      <c r="A72" s="246" t="s">
        <v>376</v>
      </c>
      <c r="B72" s="247" t="s">
        <v>240</v>
      </c>
      <c r="C72" s="247" t="s">
        <v>378</v>
      </c>
      <c r="D72" s="248">
        <v>3951.39</v>
      </c>
      <c r="E72" s="248"/>
      <c r="F72" s="248"/>
      <c r="G72" s="249"/>
      <c r="H72" s="250"/>
      <c r="I72" s="251"/>
      <c r="J72" s="252"/>
      <c r="K72" s="253">
        <f t="shared" si="27"/>
        <v>32959405.390000001</v>
      </c>
      <c r="L72" s="253">
        <f t="shared" si="27"/>
        <v>0</v>
      </c>
      <c r="M72" s="253"/>
      <c r="N72" s="257"/>
      <c r="O72" s="253">
        <f t="shared" si="9"/>
        <v>32959405.390000001</v>
      </c>
    </row>
    <row r="73" spans="1:15" s="255" customFormat="1" outlineLevel="1" x14ac:dyDescent="0.2">
      <c r="A73" s="246" t="s">
        <v>377</v>
      </c>
      <c r="B73" s="247" t="s">
        <v>240</v>
      </c>
      <c r="C73" s="247" t="s">
        <v>379</v>
      </c>
      <c r="D73" s="248">
        <v>453</v>
      </c>
      <c r="E73" s="248">
        <v>11.95</v>
      </c>
      <c r="F73" s="248"/>
      <c r="G73" s="249"/>
      <c r="H73" s="250"/>
      <c r="I73" s="251"/>
      <c r="J73" s="252"/>
      <c r="K73" s="253">
        <f t="shared" si="27"/>
        <v>3778571.75</v>
      </c>
      <c r="L73" s="253">
        <f t="shared" si="27"/>
        <v>99677.56</v>
      </c>
      <c r="M73" s="253"/>
      <c r="N73" s="257"/>
      <c r="O73" s="253">
        <f t="shared" si="9"/>
        <v>3878249.31</v>
      </c>
    </row>
    <row r="74" spans="1:15" s="291" customFormat="1" ht="31.5" customHeight="1" outlineLevel="1" x14ac:dyDescent="0.2">
      <c r="A74" s="246" t="s">
        <v>885</v>
      </c>
      <c r="B74" s="247" t="s">
        <v>255</v>
      </c>
      <c r="C74" s="247" t="s">
        <v>256</v>
      </c>
      <c r="D74" s="248">
        <v>2082.9</v>
      </c>
      <c r="E74" s="248"/>
      <c r="F74" s="248"/>
      <c r="G74" s="249"/>
      <c r="H74" s="250">
        <f>SUM(D74:G74)</f>
        <v>2082.9</v>
      </c>
      <c r="I74" s="251"/>
      <c r="J74" s="290"/>
      <c r="K74" s="253">
        <f>((D74)*1.023*1.01-(D74)*0.023*0.15)*8.1*1000</f>
        <v>17373922.969999999</v>
      </c>
      <c r="L74" s="253">
        <f>((E74)*1.023*1.01-(E74)*0.023*0.15)*8.1*1000</f>
        <v>0</v>
      </c>
      <c r="M74" s="253"/>
      <c r="N74" s="253"/>
      <c r="O74" s="253">
        <f>SUM(K74:N74)</f>
        <v>17373922.969999999</v>
      </c>
    </row>
    <row r="75" spans="1:15" s="231" customFormat="1" ht="25.5" x14ac:dyDescent="0.2">
      <c r="A75" s="284" t="s">
        <v>311</v>
      </c>
      <c r="B75" s="285" t="s">
        <v>241</v>
      </c>
      <c r="C75" s="285" t="s">
        <v>213</v>
      </c>
      <c r="D75" s="286"/>
      <c r="E75" s="286">
        <v>166.36</v>
      </c>
      <c r="F75" s="286">
        <v>5.0599999999999996</v>
      </c>
      <c r="G75" s="287"/>
      <c r="H75" s="288">
        <f t="shared" si="12"/>
        <v>171.42</v>
      </c>
      <c r="I75" s="289"/>
      <c r="J75" s="230"/>
      <c r="K75" s="242">
        <f t="shared" si="27"/>
        <v>0</v>
      </c>
      <c r="L75" s="242">
        <f t="shared" si="27"/>
        <v>1387645.03</v>
      </c>
      <c r="M75" s="242">
        <f>F75*4.09*1000</f>
        <v>20695.400000000001</v>
      </c>
      <c r="N75" s="242"/>
      <c r="O75" s="242">
        <f t="shared" si="9"/>
        <v>1408340.43</v>
      </c>
    </row>
    <row r="76" spans="1:15" s="231" customFormat="1" ht="25.5" x14ac:dyDescent="0.2">
      <c r="A76" s="284" t="s">
        <v>312</v>
      </c>
      <c r="B76" s="285" t="s">
        <v>242</v>
      </c>
      <c r="C76" s="285" t="s">
        <v>215</v>
      </c>
      <c r="D76" s="286"/>
      <c r="E76" s="286">
        <f>SUM(E77:E79)</f>
        <v>18.899999999999999</v>
      </c>
      <c r="F76" s="286">
        <f>SUM(F77:F79)</f>
        <v>30.72</v>
      </c>
      <c r="G76" s="287"/>
      <c r="H76" s="288">
        <f t="shared" si="12"/>
        <v>49.62</v>
      </c>
      <c r="I76" s="289"/>
      <c r="J76" s="230"/>
      <c r="K76" s="242">
        <f t="shared" ref="K76:M76" si="28">SUM(K77:K79)</f>
        <v>0</v>
      </c>
      <c r="L76" s="242">
        <f t="shared" si="28"/>
        <v>157649.01999999999</v>
      </c>
      <c r="M76" s="242">
        <f t="shared" si="28"/>
        <v>125644.8</v>
      </c>
      <c r="N76" s="242"/>
      <c r="O76" s="242">
        <f t="shared" si="9"/>
        <v>283293.82</v>
      </c>
    </row>
    <row r="77" spans="1:15" s="255" customFormat="1" ht="25.5" outlineLevel="1" x14ac:dyDescent="0.2">
      <c r="A77" s="246" t="s">
        <v>380</v>
      </c>
      <c r="B77" s="247"/>
      <c r="C77" s="247" t="s">
        <v>381</v>
      </c>
      <c r="D77" s="248"/>
      <c r="E77" s="248">
        <v>2.77</v>
      </c>
      <c r="F77" s="248">
        <v>5.4</v>
      </c>
      <c r="G77" s="249"/>
      <c r="H77" s="250"/>
      <c r="I77" s="251"/>
      <c r="J77" s="252"/>
      <c r="K77" s="253">
        <f t="shared" ref="K77:L79" si="29">((D77)*1.023*1.01-(D77)*0.023*0.15)*8.1*1000</f>
        <v>0</v>
      </c>
      <c r="L77" s="253">
        <f t="shared" si="29"/>
        <v>23105.17</v>
      </c>
      <c r="M77" s="253">
        <f>F77*4.09*1000</f>
        <v>22086</v>
      </c>
      <c r="N77" s="257"/>
      <c r="O77" s="253">
        <f t="shared" si="9"/>
        <v>45191.17</v>
      </c>
    </row>
    <row r="78" spans="1:15" s="255" customFormat="1" ht="25.5" outlineLevel="1" x14ac:dyDescent="0.2">
      <c r="A78" s="246" t="s">
        <v>383</v>
      </c>
      <c r="B78" s="247"/>
      <c r="C78" s="247" t="s">
        <v>382</v>
      </c>
      <c r="D78" s="248"/>
      <c r="E78" s="248">
        <v>2.3199999999999998</v>
      </c>
      <c r="F78" s="248">
        <v>4.24</v>
      </c>
      <c r="G78" s="249"/>
      <c r="H78" s="250"/>
      <c r="I78" s="251"/>
      <c r="J78" s="252"/>
      <c r="K78" s="253">
        <f t="shared" si="29"/>
        <v>0</v>
      </c>
      <c r="L78" s="253">
        <f t="shared" si="29"/>
        <v>19351.63</v>
      </c>
      <c r="M78" s="253">
        <f>F78*4.09*1000</f>
        <v>17341.599999999999</v>
      </c>
      <c r="N78" s="257"/>
      <c r="O78" s="253">
        <f t="shared" si="9"/>
        <v>36693.230000000003</v>
      </c>
    </row>
    <row r="79" spans="1:15" s="255" customFormat="1" ht="25.5" outlineLevel="1" x14ac:dyDescent="0.2">
      <c r="A79" s="246" t="s">
        <v>384</v>
      </c>
      <c r="B79" s="247"/>
      <c r="C79" s="247" t="s">
        <v>385</v>
      </c>
      <c r="D79" s="248"/>
      <c r="E79" s="248">
        <f>13.82-0.01</f>
        <v>13.81</v>
      </c>
      <c r="F79" s="248">
        <v>21.08</v>
      </c>
      <c r="G79" s="249"/>
      <c r="H79" s="250"/>
      <c r="I79" s="251"/>
      <c r="J79" s="252"/>
      <c r="K79" s="253">
        <f t="shared" si="29"/>
        <v>0</v>
      </c>
      <c r="L79" s="253">
        <f t="shared" si="29"/>
        <v>115192.22</v>
      </c>
      <c r="M79" s="253">
        <f>F79*4.09*1000</f>
        <v>86217.2</v>
      </c>
      <c r="N79" s="257"/>
      <c r="O79" s="253">
        <f t="shared" si="9"/>
        <v>201409.42</v>
      </c>
    </row>
    <row r="80" spans="1:15" s="231" customFormat="1" ht="25.5" x14ac:dyDescent="0.2">
      <c r="A80" s="284" t="s">
        <v>313</v>
      </c>
      <c r="B80" s="285" t="s">
        <v>243</v>
      </c>
      <c r="C80" s="285" t="s">
        <v>217</v>
      </c>
      <c r="D80" s="286"/>
      <c r="E80" s="286">
        <f>SUM(E81:E83)</f>
        <v>7.81</v>
      </c>
      <c r="F80" s="286">
        <f>SUM(F81:F83)</f>
        <v>29.08</v>
      </c>
      <c r="G80" s="287"/>
      <c r="H80" s="288">
        <f t="shared" si="12"/>
        <v>36.89</v>
      </c>
      <c r="I80" s="289"/>
      <c r="J80" s="230"/>
      <c r="K80" s="242">
        <f t="shared" ref="K80:M80" si="30">SUM(K81:K83)</f>
        <v>0</v>
      </c>
      <c r="L80" s="242">
        <f t="shared" si="30"/>
        <v>65144.91</v>
      </c>
      <c r="M80" s="242">
        <f t="shared" si="30"/>
        <v>118937.2</v>
      </c>
      <c r="N80" s="242"/>
      <c r="O80" s="242">
        <f t="shared" si="9"/>
        <v>184082.11</v>
      </c>
    </row>
    <row r="81" spans="1:15" s="255" customFormat="1" ht="25.5" outlineLevel="1" x14ac:dyDescent="0.2">
      <c r="A81" s="246" t="s">
        <v>386</v>
      </c>
      <c r="B81" s="247"/>
      <c r="C81" s="247" t="s">
        <v>389</v>
      </c>
      <c r="D81" s="248"/>
      <c r="E81" s="248">
        <v>3.47</v>
      </c>
      <c r="F81" s="248">
        <v>7.11</v>
      </c>
      <c r="G81" s="249"/>
      <c r="H81" s="250"/>
      <c r="I81" s="251"/>
      <c r="J81" s="252"/>
      <c r="K81" s="253">
        <f t="shared" ref="K81:L83" si="31">((D81)*1.023*1.01-(D81)*0.023*0.15)*8.1*1000</f>
        <v>0</v>
      </c>
      <c r="L81" s="253">
        <f t="shared" si="31"/>
        <v>28944.03</v>
      </c>
      <c r="M81" s="253">
        <f>F81*4.09*1000</f>
        <v>29079.9</v>
      </c>
      <c r="N81" s="257"/>
      <c r="O81" s="253">
        <f t="shared" si="9"/>
        <v>58023.93</v>
      </c>
    </row>
    <row r="82" spans="1:15" s="255" customFormat="1" ht="25.5" outlineLevel="1" x14ac:dyDescent="0.2">
      <c r="A82" s="246" t="s">
        <v>387</v>
      </c>
      <c r="B82" s="247"/>
      <c r="C82" s="247" t="s">
        <v>390</v>
      </c>
      <c r="D82" s="248"/>
      <c r="E82" s="248">
        <v>2.5299999999999998</v>
      </c>
      <c r="F82" s="248">
        <v>6.39</v>
      </c>
      <c r="G82" s="249"/>
      <c r="H82" s="250"/>
      <c r="I82" s="251"/>
      <c r="J82" s="252"/>
      <c r="K82" s="253">
        <f t="shared" si="31"/>
        <v>0</v>
      </c>
      <c r="L82" s="253">
        <f t="shared" si="31"/>
        <v>21103.279999999999</v>
      </c>
      <c r="M82" s="253">
        <f>F82*4.09*1000</f>
        <v>26135.1</v>
      </c>
      <c r="N82" s="257"/>
      <c r="O82" s="253">
        <f t="shared" si="9"/>
        <v>47238.38</v>
      </c>
    </row>
    <row r="83" spans="1:15" s="255" customFormat="1" outlineLevel="1" x14ac:dyDescent="0.2">
      <c r="A83" s="246" t="s">
        <v>388</v>
      </c>
      <c r="B83" s="247"/>
      <c r="C83" s="247" t="s">
        <v>391</v>
      </c>
      <c r="D83" s="248"/>
      <c r="E83" s="248">
        <v>1.81</v>
      </c>
      <c r="F83" s="248">
        <f>15.59-0.01</f>
        <v>15.58</v>
      </c>
      <c r="G83" s="249"/>
      <c r="H83" s="250"/>
      <c r="I83" s="251"/>
      <c r="J83" s="252"/>
      <c r="K83" s="253">
        <f t="shared" si="31"/>
        <v>0</v>
      </c>
      <c r="L83" s="253">
        <f t="shared" si="31"/>
        <v>15097.6</v>
      </c>
      <c r="M83" s="253">
        <f>F83*4.09*1000</f>
        <v>63722.2</v>
      </c>
      <c r="N83" s="257"/>
      <c r="O83" s="253">
        <f t="shared" si="9"/>
        <v>78819.8</v>
      </c>
    </row>
    <row r="84" spans="1:15" s="231" customFormat="1" ht="25.5" x14ac:dyDescent="0.2">
      <c r="A84" s="284" t="s">
        <v>314</v>
      </c>
      <c r="B84" s="285" t="s">
        <v>244</v>
      </c>
      <c r="C84" s="285" t="s">
        <v>219</v>
      </c>
      <c r="D84" s="286"/>
      <c r="E84" s="286">
        <f>SUM(E85:E86)</f>
        <v>32.270000000000003</v>
      </c>
      <c r="F84" s="286">
        <f>SUM(F85:F86)</f>
        <v>259.77</v>
      </c>
      <c r="G84" s="287"/>
      <c r="H84" s="288">
        <f t="shared" si="12"/>
        <v>292.04000000000002</v>
      </c>
      <c r="I84" s="289"/>
      <c r="J84" s="230"/>
      <c r="K84" s="242">
        <f t="shared" ref="K84:M84" si="32">SUM(K85:K86)</f>
        <v>0</v>
      </c>
      <c r="L84" s="242">
        <f t="shared" si="32"/>
        <v>269171.11</v>
      </c>
      <c r="M84" s="242">
        <f t="shared" si="32"/>
        <v>1062459.3</v>
      </c>
      <c r="N84" s="242"/>
      <c r="O84" s="242">
        <f t="shared" si="9"/>
        <v>1331630.4099999999</v>
      </c>
    </row>
    <row r="85" spans="1:15" s="255" customFormat="1" outlineLevel="1" x14ac:dyDescent="0.2">
      <c r="A85" s="246" t="s">
        <v>392</v>
      </c>
      <c r="B85" s="247"/>
      <c r="C85" s="247" t="s">
        <v>394</v>
      </c>
      <c r="D85" s="248"/>
      <c r="E85" s="248">
        <v>1.0900000000000001</v>
      </c>
      <c r="F85" s="248">
        <v>20.03</v>
      </c>
      <c r="G85" s="249"/>
      <c r="H85" s="250"/>
      <c r="I85" s="251"/>
      <c r="J85" s="252"/>
      <c r="K85" s="253">
        <f>((D85)*1.023*1.01-(D85)*0.023*0.15)*8.1*1000</f>
        <v>0</v>
      </c>
      <c r="L85" s="253">
        <f>((E85)*1.023*1.01-(E85)*0.023*0.15)*8.1*1000</f>
        <v>9091.93</v>
      </c>
      <c r="M85" s="253">
        <f>F85*4.09*1000</f>
        <v>81922.7</v>
      </c>
      <c r="N85" s="257"/>
      <c r="O85" s="253">
        <f t="shared" si="9"/>
        <v>91014.63</v>
      </c>
    </row>
    <row r="86" spans="1:15" s="255" customFormat="1" ht="25.5" outlineLevel="1" x14ac:dyDescent="0.2">
      <c r="A86" s="246" t="s">
        <v>393</v>
      </c>
      <c r="B86" s="247"/>
      <c r="C86" s="247" t="s">
        <v>395</v>
      </c>
      <c r="D86" s="248"/>
      <c r="E86" s="248">
        <v>31.18</v>
      </c>
      <c r="F86" s="248">
        <f>239.75-0.01</f>
        <v>239.74</v>
      </c>
      <c r="G86" s="249"/>
      <c r="H86" s="250"/>
      <c r="I86" s="251"/>
      <c r="J86" s="252"/>
      <c r="K86" s="253">
        <f>((D86)*1.023*1.01-(D86)*0.023*0.15)*8.1*1000</f>
        <v>0</v>
      </c>
      <c r="L86" s="253">
        <f>((E86)*1.023*1.01-(E86)*0.023*0.15)*8.1*1000</f>
        <v>260079.18</v>
      </c>
      <c r="M86" s="253">
        <f>F86*4.09*1000</f>
        <v>980536.6</v>
      </c>
      <c r="N86" s="257"/>
      <c r="O86" s="253">
        <f t="shared" si="9"/>
        <v>1240615.78</v>
      </c>
    </row>
    <row r="87" spans="1:15" s="231" customFormat="1" x14ac:dyDescent="0.2">
      <c r="A87" s="284" t="s">
        <v>315</v>
      </c>
      <c r="B87" s="285" t="s">
        <v>245</v>
      </c>
      <c r="C87" s="285" t="s">
        <v>221</v>
      </c>
      <c r="D87" s="286"/>
      <c r="E87" s="286">
        <f>SUM(E88:E90)</f>
        <v>12.45</v>
      </c>
      <c r="F87" s="286">
        <f>SUM(F88:F90)</f>
        <v>5.45</v>
      </c>
      <c r="G87" s="287"/>
      <c r="H87" s="288">
        <f t="shared" si="12"/>
        <v>17.899999999999999</v>
      </c>
      <c r="I87" s="289"/>
      <c r="J87" s="230"/>
      <c r="K87" s="242">
        <f>SUM(K88:K90)</f>
        <v>0</v>
      </c>
      <c r="L87" s="242">
        <f>SUM(L88:L90)</f>
        <v>103848.16</v>
      </c>
      <c r="M87" s="242">
        <f>SUM(M88:M90)</f>
        <v>22290.5</v>
      </c>
      <c r="N87" s="242"/>
      <c r="O87" s="242">
        <f t="shared" si="9"/>
        <v>126138.66</v>
      </c>
    </row>
    <row r="88" spans="1:15" s="255" customFormat="1" ht="25.5" outlineLevel="1" x14ac:dyDescent="0.2">
      <c r="A88" s="246" t="s">
        <v>396</v>
      </c>
      <c r="B88" s="247"/>
      <c r="C88" s="247" t="s">
        <v>381</v>
      </c>
      <c r="D88" s="248"/>
      <c r="E88" s="248">
        <v>2.48</v>
      </c>
      <c r="F88" s="248">
        <v>1.37</v>
      </c>
      <c r="G88" s="249"/>
      <c r="H88" s="250"/>
      <c r="I88" s="251"/>
      <c r="J88" s="252"/>
      <c r="K88" s="253">
        <f t="shared" ref="K88:K91" si="33">((D88)*1.023*1.01-(D88)*0.023*0.15)*8.1*1000</f>
        <v>0</v>
      </c>
      <c r="L88" s="253">
        <f t="shared" ref="L88:L91" si="34">((E88)*1.023*1.01-(E88)*0.023*0.15)*8.1*1000</f>
        <v>20686.22</v>
      </c>
      <c r="M88" s="253">
        <f t="shared" ref="M88:M91" si="35">F88*4.09*1000</f>
        <v>5603.3</v>
      </c>
      <c r="N88" s="257"/>
      <c r="O88" s="253">
        <f t="shared" si="9"/>
        <v>26289.52</v>
      </c>
    </row>
    <row r="89" spans="1:15" s="255" customFormat="1" ht="24.75" customHeight="1" outlineLevel="1" x14ac:dyDescent="0.2">
      <c r="A89" s="246" t="s">
        <v>397</v>
      </c>
      <c r="B89" s="247"/>
      <c r="C89" s="247" t="s">
        <v>382</v>
      </c>
      <c r="D89" s="248"/>
      <c r="E89" s="248">
        <v>2.61</v>
      </c>
      <c r="F89" s="248">
        <v>1.36</v>
      </c>
      <c r="G89" s="249"/>
      <c r="H89" s="250"/>
      <c r="I89" s="251"/>
      <c r="J89" s="252"/>
      <c r="K89" s="253">
        <f t="shared" si="33"/>
        <v>0</v>
      </c>
      <c r="L89" s="253">
        <f t="shared" si="34"/>
        <v>21770.58</v>
      </c>
      <c r="M89" s="253">
        <f t="shared" si="35"/>
        <v>5562.4</v>
      </c>
      <c r="N89" s="257"/>
      <c r="O89" s="253">
        <f t="shared" si="9"/>
        <v>27332.98</v>
      </c>
    </row>
    <row r="90" spans="1:15" s="255" customFormat="1" ht="25.5" outlineLevel="1" x14ac:dyDescent="0.2">
      <c r="A90" s="246" t="s">
        <v>398</v>
      </c>
      <c r="B90" s="247"/>
      <c r="C90" s="247" t="s">
        <v>385</v>
      </c>
      <c r="D90" s="248"/>
      <c r="E90" s="248">
        <v>7.36</v>
      </c>
      <c r="F90" s="248">
        <v>2.72</v>
      </c>
      <c r="G90" s="249"/>
      <c r="H90" s="250"/>
      <c r="I90" s="251"/>
      <c r="J90" s="252"/>
      <c r="K90" s="253">
        <f t="shared" si="33"/>
        <v>0</v>
      </c>
      <c r="L90" s="253">
        <f t="shared" si="34"/>
        <v>61391.360000000001</v>
      </c>
      <c r="M90" s="253">
        <f t="shared" si="35"/>
        <v>11124.8</v>
      </c>
      <c r="N90" s="257"/>
      <c r="O90" s="253">
        <f t="shared" si="9"/>
        <v>72516.160000000003</v>
      </c>
    </row>
    <row r="91" spans="1:15" s="231" customFormat="1" ht="38.25" x14ac:dyDescent="0.2">
      <c r="A91" s="284" t="s">
        <v>316</v>
      </c>
      <c r="B91" s="285" t="s">
        <v>246</v>
      </c>
      <c r="C91" s="285" t="s">
        <v>880</v>
      </c>
      <c r="D91" s="286">
        <v>10.050000000000001</v>
      </c>
      <c r="E91" s="286">
        <v>169.73</v>
      </c>
      <c r="F91" s="286"/>
      <c r="G91" s="287"/>
      <c r="H91" s="288">
        <f t="shared" si="12"/>
        <v>179.78</v>
      </c>
      <c r="I91" s="289"/>
      <c r="J91" s="230"/>
      <c r="K91" s="242">
        <f t="shared" si="33"/>
        <v>83829.240000000005</v>
      </c>
      <c r="L91" s="242">
        <f t="shared" si="34"/>
        <v>1415754.93</v>
      </c>
      <c r="M91" s="242">
        <f t="shared" si="35"/>
        <v>0</v>
      </c>
      <c r="N91" s="242"/>
      <c r="O91" s="242">
        <f t="shared" si="9"/>
        <v>1499584.17</v>
      </c>
    </row>
    <row r="92" spans="1:15" s="265" customFormat="1" ht="18" customHeight="1" x14ac:dyDescent="0.2">
      <c r="A92" s="258">
        <v>6</v>
      </c>
      <c r="B92" s="179" t="s">
        <v>37</v>
      </c>
      <c r="C92" s="179" t="s">
        <v>38</v>
      </c>
      <c r="D92" s="259">
        <f>D93+D99+D103+D108+D114+D115+D121+D122+D126+D127+D131+D135+D136+D140</f>
        <v>6999.67</v>
      </c>
      <c r="E92" s="266">
        <f t="shared" ref="E92:F92" si="36">E93+E99+E103+E108+E114+E115+E121+E122+E126+E127+E131+E135+E136+E140</f>
        <v>1809.76</v>
      </c>
      <c r="F92" s="266">
        <f t="shared" si="36"/>
        <v>1754.15</v>
      </c>
      <c r="G92" s="266"/>
      <c r="H92" s="266">
        <f>SUM(D92:G92)</f>
        <v>10563.58</v>
      </c>
      <c r="I92" s="262"/>
      <c r="J92" s="263"/>
      <c r="K92" s="264">
        <f t="shared" ref="K92" si="37">K93+K99+K103+K108+K114+K115+K121+K122+K126+K127+K131+K135+K136+K140</f>
        <v>58385773.399999999</v>
      </c>
      <c r="L92" s="264">
        <f t="shared" ref="L92" si="38">L93+L99+L103+L108+L114+L115+L121+L122+L126+L127+L131+L135+L136+L140</f>
        <v>15095602.699999999</v>
      </c>
      <c r="M92" s="264">
        <f t="shared" ref="M92" si="39">M93+M99+M103+M108+M114+M115+M121+M122+M126+M127+M131+M135+M136+M140</f>
        <v>7174473.5</v>
      </c>
      <c r="N92" s="264"/>
      <c r="O92" s="264">
        <f>SUM(K92:N92)</f>
        <v>80655849.599999994</v>
      </c>
    </row>
    <row r="93" spans="1:15" s="231" customFormat="1" x14ac:dyDescent="0.2">
      <c r="A93" s="284" t="s">
        <v>257</v>
      </c>
      <c r="B93" s="285" t="s">
        <v>196</v>
      </c>
      <c r="C93" s="285" t="s">
        <v>197</v>
      </c>
      <c r="D93" s="286">
        <f>SUM(D94:D98)</f>
        <v>3309.67</v>
      </c>
      <c r="E93" s="286"/>
      <c r="F93" s="286"/>
      <c r="G93" s="287"/>
      <c r="H93" s="288">
        <f>SUM(D93:G93)</f>
        <v>3309.67</v>
      </c>
      <c r="I93" s="289"/>
      <c r="J93" s="230"/>
      <c r="K93" s="242">
        <f>SUM(K94:K98)</f>
        <v>27606678.969999999</v>
      </c>
      <c r="L93" s="242"/>
      <c r="M93" s="242"/>
      <c r="N93" s="242"/>
      <c r="O93" s="242">
        <f t="shared" ref="O93:O140" si="40">SUM(K93:N93)</f>
        <v>27606678.969999999</v>
      </c>
    </row>
    <row r="94" spans="1:15" s="291" customFormat="1" outlineLevel="1" x14ac:dyDescent="0.2">
      <c r="A94" s="246" t="s">
        <v>410</v>
      </c>
      <c r="B94" s="247"/>
      <c r="C94" s="247" t="s">
        <v>409</v>
      </c>
      <c r="D94" s="248">
        <v>301.02999999999997</v>
      </c>
      <c r="E94" s="248"/>
      <c r="F94" s="248"/>
      <c r="G94" s="249"/>
      <c r="H94" s="250"/>
      <c r="I94" s="251"/>
      <c r="J94" s="290"/>
      <c r="K94" s="253">
        <f t="shared" ref="K94:K97" si="41">((D94)*1.023*1.01-(D94)*0.023*0.15)*8.1*1000</f>
        <v>2510956.85</v>
      </c>
      <c r="L94" s="253"/>
      <c r="M94" s="253"/>
      <c r="N94" s="253"/>
      <c r="O94" s="253">
        <f t="shared" si="40"/>
        <v>2510956.85</v>
      </c>
    </row>
    <row r="95" spans="1:15" s="291" customFormat="1" outlineLevel="1" x14ac:dyDescent="0.2">
      <c r="A95" s="246" t="s">
        <v>413</v>
      </c>
      <c r="B95" s="247"/>
      <c r="C95" s="247" t="s">
        <v>411</v>
      </c>
      <c r="D95" s="248">
        <v>673.37</v>
      </c>
      <c r="E95" s="248"/>
      <c r="F95" s="248"/>
      <c r="G95" s="249"/>
      <c r="H95" s="250"/>
      <c r="I95" s="251"/>
      <c r="J95" s="290"/>
      <c r="K95" s="253">
        <f t="shared" si="41"/>
        <v>5616725.96</v>
      </c>
      <c r="L95" s="253"/>
      <c r="M95" s="253"/>
      <c r="N95" s="253"/>
      <c r="O95" s="253">
        <f t="shared" si="40"/>
        <v>5616725.96</v>
      </c>
    </row>
    <row r="96" spans="1:15" s="291" customFormat="1" outlineLevel="1" x14ac:dyDescent="0.2">
      <c r="A96" s="246" t="s">
        <v>414</v>
      </c>
      <c r="B96" s="247"/>
      <c r="C96" s="247" t="s">
        <v>412</v>
      </c>
      <c r="D96" s="248">
        <v>1282.97</v>
      </c>
      <c r="E96" s="248"/>
      <c r="F96" s="248"/>
      <c r="G96" s="249"/>
      <c r="H96" s="250"/>
      <c r="I96" s="251"/>
      <c r="J96" s="290"/>
      <c r="K96" s="253">
        <f t="shared" si="41"/>
        <v>10701532.460000001</v>
      </c>
      <c r="L96" s="253"/>
      <c r="M96" s="253"/>
      <c r="N96" s="253"/>
      <c r="O96" s="253">
        <f t="shared" si="40"/>
        <v>10701532.460000001</v>
      </c>
    </row>
    <row r="97" spans="1:15" s="291" customFormat="1" outlineLevel="1" x14ac:dyDescent="0.2">
      <c r="A97" s="246" t="s">
        <v>415</v>
      </c>
      <c r="B97" s="247"/>
      <c r="C97" s="247" t="s">
        <v>347</v>
      </c>
      <c r="D97" s="248">
        <v>357.03</v>
      </c>
      <c r="E97" s="248"/>
      <c r="F97" s="248"/>
      <c r="G97" s="249"/>
      <c r="H97" s="250"/>
      <c r="I97" s="251"/>
      <c r="J97" s="290"/>
      <c r="K97" s="253">
        <f t="shared" si="41"/>
        <v>2978065.06</v>
      </c>
      <c r="L97" s="253"/>
      <c r="M97" s="253"/>
      <c r="N97" s="253"/>
      <c r="O97" s="253">
        <f t="shared" si="40"/>
        <v>2978065.06</v>
      </c>
    </row>
    <row r="98" spans="1:15" s="291" customFormat="1" ht="25.5" outlineLevel="1" x14ac:dyDescent="0.2">
      <c r="A98" s="246" t="s">
        <v>886</v>
      </c>
      <c r="B98" s="247" t="s">
        <v>223</v>
      </c>
      <c r="C98" s="247" t="s">
        <v>224</v>
      </c>
      <c r="D98" s="248">
        <v>695.27</v>
      </c>
      <c r="E98" s="248"/>
      <c r="F98" s="248"/>
      <c r="G98" s="249"/>
      <c r="H98" s="250">
        <f>SUM(D98:G98)</f>
        <v>695.27</v>
      </c>
      <c r="I98" s="251"/>
      <c r="J98" s="290"/>
      <c r="K98" s="253">
        <f>((D98)*1.023*1.01-(D98)*0.023*0.15)*8.1*1000</f>
        <v>5799398.6399999997</v>
      </c>
      <c r="L98" s="253"/>
      <c r="M98" s="253"/>
      <c r="N98" s="253"/>
      <c r="O98" s="253">
        <f>SUM(K98:N98)</f>
        <v>5799398.6399999997</v>
      </c>
    </row>
    <row r="99" spans="1:15" s="231" customFormat="1" ht="25.5" x14ac:dyDescent="0.2">
      <c r="A99" s="284" t="s">
        <v>258</v>
      </c>
      <c r="B99" s="285" t="s">
        <v>198</v>
      </c>
      <c r="C99" s="285" t="s">
        <v>199</v>
      </c>
      <c r="D99" s="286">
        <f>SUM(D100:D102)</f>
        <v>1002.93</v>
      </c>
      <c r="E99" s="286">
        <f t="shared" ref="E99:F99" si="42">SUM(E100:E102)</f>
        <v>843.99</v>
      </c>
      <c r="F99" s="286">
        <f t="shared" si="42"/>
        <v>0</v>
      </c>
      <c r="G99" s="287"/>
      <c r="H99" s="288">
        <f t="shared" ref="H99:H140" si="43">SUM(D99:G99)</f>
        <v>1846.92</v>
      </c>
      <c r="I99" s="289"/>
      <c r="J99" s="230"/>
      <c r="K99" s="242">
        <f t="shared" ref="K99:M99" si="44">SUM(K100:K102)</f>
        <v>8365657.7699999996</v>
      </c>
      <c r="L99" s="242">
        <f t="shared" si="44"/>
        <v>7039904.5800000001</v>
      </c>
      <c r="M99" s="242">
        <f t="shared" si="44"/>
        <v>0</v>
      </c>
      <c r="N99" s="242"/>
      <c r="O99" s="242">
        <f t="shared" si="40"/>
        <v>15405562.35</v>
      </c>
    </row>
    <row r="100" spans="1:15" s="291" customFormat="1" ht="25.5" outlineLevel="1" x14ac:dyDescent="0.2">
      <c r="A100" s="246" t="s">
        <v>416</v>
      </c>
      <c r="B100" s="247"/>
      <c r="C100" s="247" t="s">
        <v>351</v>
      </c>
      <c r="D100" s="248">
        <v>925.92</v>
      </c>
      <c r="E100" s="248"/>
      <c r="F100" s="248"/>
      <c r="G100" s="249"/>
      <c r="H100" s="250"/>
      <c r="I100" s="251"/>
      <c r="J100" s="290"/>
      <c r="K100" s="253">
        <f t="shared" ref="K100:L102" si="45">((D100)*1.023*1.01-(D100)*0.023*0.15)*8.1*1000</f>
        <v>7723300.5700000003</v>
      </c>
      <c r="L100" s="253">
        <f t="shared" si="45"/>
        <v>0</v>
      </c>
      <c r="M100" s="253">
        <f>F100*4.09*1000</f>
        <v>0</v>
      </c>
      <c r="N100" s="253"/>
      <c r="O100" s="253">
        <f t="shared" si="40"/>
        <v>7723300.5700000003</v>
      </c>
    </row>
    <row r="101" spans="1:15" s="291" customFormat="1" outlineLevel="1" x14ac:dyDescent="0.2">
      <c r="A101" s="246" t="s">
        <v>418</v>
      </c>
      <c r="B101" s="247"/>
      <c r="C101" s="247" t="s">
        <v>417</v>
      </c>
      <c r="D101" s="248">
        <v>77.010000000000005</v>
      </c>
      <c r="E101" s="248">
        <v>843.99</v>
      </c>
      <c r="F101" s="248"/>
      <c r="G101" s="249"/>
      <c r="H101" s="250"/>
      <c r="I101" s="251"/>
      <c r="J101" s="290"/>
      <c r="K101" s="253">
        <f t="shared" si="45"/>
        <v>642357.19999999995</v>
      </c>
      <c r="L101" s="253">
        <f t="shared" si="45"/>
        <v>7039904.5800000001</v>
      </c>
      <c r="M101" s="253">
        <f>F101*4.09*1000</f>
        <v>0</v>
      </c>
      <c r="N101" s="253"/>
      <c r="O101" s="253">
        <f t="shared" si="40"/>
        <v>7682261.7800000003</v>
      </c>
    </row>
    <row r="102" spans="1:15" s="291" customFormat="1" ht="15" outlineLevel="1" x14ac:dyDescent="0.2">
      <c r="A102" s="246" t="s">
        <v>419</v>
      </c>
      <c r="B102" s="247"/>
      <c r="C102" s="247" t="s">
        <v>891</v>
      </c>
      <c r="D102" s="248"/>
      <c r="E102" s="248"/>
      <c r="F102" s="172">
        <f>1050000000/1.2/4.09/1000*0</f>
        <v>0</v>
      </c>
      <c r="G102" s="249"/>
      <c r="H102" s="250"/>
      <c r="I102" s="251">
        <f>F102*4.09*1.02*1.2</f>
        <v>0</v>
      </c>
      <c r="J102" s="290"/>
      <c r="K102" s="253">
        <f t="shared" si="45"/>
        <v>0</v>
      </c>
      <c r="L102" s="253">
        <f t="shared" si="45"/>
        <v>0</v>
      </c>
      <c r="M102" s="162">
        <f>F102*1000*4.09</f>
        <v>0</v>
      </c>
      <c r="N102" s="253"/>
      <c r="O102" s="253">
        <f t="shared" si="40"/>
        <v>0</v>
      </c>
    </row>
    <row r="103" spans="1:15" s="231" customFormat="1" ht="20.25" customHeight="1" x14ac:dyDescent="0.2">
      <c r="A103" s="284" t="s">
        <v>259</v>
      </c>
      <c r="B103" s="285" t="s">
        <v>200</v>
      </c>
      <c r="C103" s="285" t="s">
        <v>201</v>
      </c>
      <c r="D103" s="286">
        <f>SUM(D104:D107)</f>
        <v>2.68</v>
      </c>
      <c r="E103" s="286">
        <f>SUM(E104:E107)</f>
        <v>492.25</v>
      </c>
      <c r="F103" s="286"/>
      <c r="G103" s="287"/>
      <c r="H103" s="288">
        <f t="shared" si="43"/>
        <v>494.93</v>
      </c>
      <c r="I103" s="289"/>
      <c r="J103" s="230"/>
      <c r="K103" s="286">
        <f>SUM(K104:K107)</f>
        <v>22354.47</v>
      </c>
      <c r="L103" s="286">
        <f>SUM(L104:L107)</f>
        <v>4105964.56</v>
      </c>
      <c r="M103" s="242"/>
      <c r="N103" s="242"/>
      <c r="O103" s="242">
        <f t="shared" si="40"/>
        <v>4128319.03</v>
      </c>
    </row>
    <row r="104" spans="1:15" s="291" customFormat="1" ht="20.25" customHeight="1" outlineLevel="1" x14ac:dyDescent="0.2">
      <c r="A104" s="246" t="s">
        <v>420</v>
      </c>
      <c r="B104" s="247"/>
      <c r="C104" s="247" t="s">
        <v>356</v>
      </c>
      <c r="D104" s="248">
        <v>0.9</v>
      </c>
      <c r="E104" s="248">
        <v>81.42</v>
      </c>
      <c r="F104" s="248"/>
      <c r="G104" s="249"/>
      <c r="H104" s="250">
        <f t="shared" si="43"/>
        <v>82.32</v>
      </c>
      <c r="I104" s="251"/>
      <c r="J104" s="290"/>
      <c r="K104" s="253">
        <f t="shared" ref="K104:L106" si="46">((D104)*1.023*1.01-(D104)*0.023*0.15)*8.1*1000</f>
        <v>7507.1</v>
      </c>
      <c r="L104" s="253">
        <f t="shared" si="46"/>
        <v>679141.97</v>
      </c>
      <c r="M104" s="253"/>
      <c r="N104" s="253"/>
      <c r="O104" s="253">
        <f t="shared" si="40"/>
        <v>686649.07</v>
      </c>
    </row>
    <row r="105" spans="1:15" s="291" customFormat="1" ht="20.25" customHeight="1" outlineLevel="1" x14ac:dyDescent="0.2">
      <c r="A105" s="246" t="s">
        <v>422</v>
      </c>
      <c r="B105" s="247"/>
      <c r="C105" s="247" t="s">
        <v>421</v>
      </c>
      <c r="D105" s="248">
        <v>1.34</v>
      </c>
      <c r="E105" s="248">
        <v>55.84</v>
      </c>
      <c r="F105" s="248"/>
      <c r="G105" s="249"/>
      <c r="H105" s="250">
        <f t="shared" si="43"/>
        <v>57.18</v>
      </c>
      <c r="I105" s="251"/>
      <c r="J105" s="290"/>
      <c r="K105" s="253">
        <f t="shared" si="46"/>
        <v>11177.23</v>
      </c>
      <c r="L105" s="253">
        <f t="shared" si="46"/>
        <v>465773.61</v>
      </c>
      <c r="M105" s="253"/>
      <c r="N105" s="253"/>
      <c r="O105" s="253">
        <f t="shared" si="40"/>
        <v>476950.84</v>
      </c>
    </row>
    <row r="106" spans="1:15" s="291" customFormat="1" ht="20.25" customHeight="1" outlineLevel="1" x14ac:dyDescent="0.2">
      <c r="A106" s="246" t="s">
        <v>423</v>
      </c>
      <c r="B106" s="247"/>
      <c r="C106" s="247" t="s">
        <v>361</v>
      </c>
      <c r="D106" s="248"/>
      <c r="E106" s="248">
        <v>354.99</v>
      </c>
      <c r="F106" s="248"/>
      <c r="G106" s="249"/>
      <c r="H106" s="250">
        <f t="shared" si="43"/>
        <v>354.99</v>
      </c>
      <c r="I106" s="251"/>
      <c r="J106" s="290"/>
      <c r="K106" s="253">
        <f t="shared" si="46"/>
        <v>0</v>
      </c>
      <c r="L106" s="253">
        <f t="shared" si="46"/>
        <v>2961048.98</v>
      </c>
      <c r="M106" s="253"/>
      <c r="N106" s="253"/>
      <c r="O106" s="253">
        <f t="shared" si="40"/>
        <v>2961048.98</v>
      </c>
    </row>
    <row r="107" spans="1:15" s="291" customFormat="1" ht="25.5" outlineLevel="1" x14ac:dyDescent="0.2">
      <c r="A107" s="246" t="s">
        <v>887</v>
      </c>
      <c r="B107" s="247" t="s">
        <v>225</v>
      </c>
      <c r="C107" s="247" t="s">
        <v>226</v>
      </c>
      <c r="D107" s="248">
        <v>0.44</v>
      </c>
      <c r="E107" s="248"/>
      <c r="F107" s="248"/>
      <c r="G107" s="249"/>
      <c r="H107" s="250">
        <f>SUM(D107:G107)</f>
        <v>0.44</v>
      </c>
      <c r="I107" s="251"/>
      <c r="J107" s="290"/>
      <c r="K107" s="253">
        <f>((D107)*1.023*1.01-(D107)*0.023*0.15)*8.1*1000</f>
        <v>3670.14</v>
      </c>
      <c r="L107" s="253">
        <f>((E107)*1.023*1.01-(E107)*0.023*0.15)*8.1*1000</f>
        <v>0</v>
      </c>
      <c r="M107" s="253"/>
      <c r="N107" s="253"/>
      <c r="O107" s="253">
        <f>SUM(K107:N107)</f>
        <v>3670.14</v>
      </c>
    </row>
    <row r="108" spans="1:15" s="231" customFormat="1" ht="25.5" x14ac:dyDescent="0.2">
      <c r="A108" s="284" t="s">
        <v>260</v>
      </c>
      <c r="B108" s="285" t="s">
        <v>202</v>
      </c>
      <c r="C108" s="285" t="s">
        <v>203</v>
      </c>
      <c r="D108" s="286">
        <f>SUM(D109:D113)</f>
        <v>83.43</v>
      </c>
      <c r="E108" s="286">
        <f t="shared" ref="E108:F108" si="47">SUM(E109:E113)</f>
        <v>20.46</v>
      </c>
      <c r="F108" s="286">
        <f t="shared" si="47"/>
        <v>639.39</v>
      </c>
      <c r="G108" s="287"/>
      <c r="H108" s="288">
        <f t="shared" si="43"/>
        <v>743.28</v>
      </c>
      <c r="I108" s="289"/>
      <c r="J108" s="230"/>
      <c r="K108" s="286">
        <f>SUM(K109:K113)</f>
        <v>695907.81</v>
      </c>
      <c r="L108" s="286">
        <f t="shared" ref="L108:M108" si="48">SUM(L109:L113)</f>
        <v>170661.32</v>
      </c>
      <c r="M108" s="286">
        <f t="shared" si="48"/>
        <v>2615105.1</v>
      </c>
      <c r="N108" s="242"/>
      <c r="O108" s="242">
        <f t="shared" si="40"/>
        <v>3481674.23</v>
      </c>
    </row>
    <row r="109" spans="1:15" s="291" customFormat="1" outlineLevel="1" x14ac:dyDescent="0.2">
      <c r="A109" s="246" t="s">
        <v>424</v>
      </c>
      <c r="B109" s="247"/>
      <c r="C109" s="247" t="s">
        <v>362</v>
      </c>
      <c r="D109" s="248">
        <v>58.26</v>
      </c>
      <c r="E109" s="248"/>
      <c r="F109" s="248"/>
      <c r="G109" s="249"/>
      <c r="H109" s="250">
        <f t="shared" si="43"/>
        <v>58.26</v>
      </c>
      <c r="I109" s="251"/>
      <c r="J109" s="290"/>
      <c r="K109" s="253">
        <f t="shared" ref="K109:L114" si="49">((D109)*1.023*1.01-(D109)*0.023*0.15)*8.1*1000</f>
        <v>485959.36</v>
      </c>
      <c r="L109" s="253">
        <f t="shared" si="49"/>
        <v>0</v>
      </c>
      <c r="M109" s="253">
        <f t="shared" ref="M109:M114" si="50">F109*4.09*1000</f>
        <v>0</v>
      </c>
      <c r="N109" s="253"/>
      <c r="O109" s="253">
        <f t="shared" si="40"/>
        <v>485959.36</v>
      </c>
    </row>
    <row r="110" spans="1:15" s="291" customFormat="1" outlineLevel="1" x14ac:dyDescent="0.2">
      <c r="A110" s="246" t="s">
        <v>425</v>
      </c>
      <c r="B110" s="247"/>
      <c r="C110" s="247" t="s">
        <v>364</v>
      </c>
      <c r="D110" s="248"/>
      <c r="E110" s="248">
        <v>20.13</v>
      </c>
      <c r="F110" s="248">
        <f>612.27-0.01</f>
        <v>612.26</v>
      </c>
      <c r="G110" s="249"/>
      <c r="H110" s="250">
        <f t="shared" si="43"/>
        <v>632.39</v>
      </c>
      <c r="I110" s="251"/>
      <c r="J110" s="290"/>
      <c r="K110" s="253">
        <f t="shared" si="49"/>
        <v>0</v>
      </c>
      <c r="L110" s="253">
        <f t="shared" si="49"/>
        <v>167908.72</v>
      </c>
      <c r="M110" s="253">
        <f t="shared" si="50"/>
        <v>2504143.4</v>
      </c>
      <c r="N110" s="253"/>
      <c r="O110" s="253">
        <f t="shared" si="40"/>
        <v>2672052.12</v>
      </c>
    </row>
    <row r="111" spans="1:15" s="291" customFormat="1" outlineLevel="1" x14ac:dyDescent="0.2">
      <c r="A111" s="246" t="s">
        <v>426</v>
      </c>
      <c r="B111" s="247"/>
      <c r="C111" s="247" t="s">
        <v>365</v>
      </c>
      <c r="D111" s="248">
        <v>2.82</v>
      </c>
      <c r="E111" s="248">
        <v>0.33</v>
      </c>
      <c r="F111" s="248">
        <v>12.98</v>
      </c>
      <c r="G111" s="249"/>
      <c r="H111" s="250">
        <f t="shared" si="43"/>
        <v>16.13</v>
      </c>
      <c r="I111" s="251"/>
      <c r="J111" s="290"/>
      <c r="K111" s="253">
        <f t="shared" si="49"/>
        <v>23522.23</v>
      </c>
      <c r="L111" s="253">
        <f t="shared" si="49"/>
        <v>2752.6</v>
      </c>
      <c r="M111" s="253">
        <f t="shared" si="50"/>
        <v>53088.2</v>
      </c>
      <c r="N111" s="253"/>
      <c r="O111" s="253">
        <f t="shared" si="40"/>
        <v>79363.03</v>
      </c>
    </row>
    <row r="112" spans="1:15" s="291" customFormat="1" outlineLevel="1" x14ac:dyDescent="0.2">
      <c r="A112" s="246" t="s">
        <v>427</v>
      </c>
      <c r="B112" s="247"/>
      <c r="C112" s="247" t="s">
        <v>368</v>
      </c>
      <c r="D112" s="248">
        <v>0.47</v>
      </c>
      <c r="E112" s="248"/>
      <c r="F112" s="248">
        <v>14.15</v>
      </c>
      <c r="G112" s="249"/>
      <c r="H112" s="250">
        <f t="shared" si="43"/>
        <v>14.62</v>
      </c>
      <c r="I112" s="251"/>
      <c r="J112" s="290"/>
      <c r="K112" s="253">
        <f t="shared" si="49"/>
        <v>3920.37</v>
      </c>
      <c r="L112" s="253">
        <f t="shared" si="49"/>
        <v>0</v>
      </c>
      <c r="M112" s="253">
        <f t="shared" si="50"/>
        <v>57873.5</v>
      </c>
      <c r="N112" s="253"/>
      <c r="O112" s="253">
        <f t="shared" si="40"/>
        <v>61793.87</v>
      </c>
    </row>
    <row r="113" spans="1:15" s="291" customFormat="1" ht="25.5" outlineLevel="1" x14ac:dyDescent="0.2">
      <c r="A113" s="246" t="s">
        <v>888</v>
      </c>
      <c r="B113" s="247" t="s">
        <v>227</v>
      </c>
      <c r="C113" s="247" t="s">
        <v>228</v>
      </c>
      <c r="D113" s="248">
        <v>21.88</v>
      </c>
      <c r="E113" s="248"/>
      <c r="F113" s="248"/>
      <c r="G113" s="249"/>
      <c r="H113" s="250">
        <f>SUM(D113:G113)</f>
        <v>21.88</v>
      </c>
      <c r="I113" s="251"/>
      <c r="J113" s="290"/>
      <c r="K113" s="253">
        <f>((D113)*1.023*1.01-(D113)*0.023*0.15)*8.1*1000</f>
        <v>182505.85</v>
      </c>
      <c r="L113" s="253">
        <f>((E113)*1.023*1.01-(E113)*0.023*0.15)*8.1*1000</f>
        <v>0</v>
      </c>
      <c r="M113" s="253">
        <f t="shared" si="50"/>
        <v>0</v>
      </c>
      <c r="N113" s="253"/>
      <c r="O113" s="253">
        <f>SUM(K113:N113)</f>
        <v>182505.85</v>
      </c>
    </row>
    <row r="114" spans="1:15" s="231" customFormat="1" ht="25.5" x14ac:dyDescent="0.2">
      <c r="A114" s="284" t="s">
        <v>261</v>
      </c>
      <c r="B114" s="285" t="s">
        <v>204</v>
      </c>
      <c r="C114" s="285" t="s">
        <v>205</v>
      </c>
      <c r="D114" s="286"/>
      <c r="E114" s="286">
        <v>10.8</v>
      </c>
      <c r="F114" s="286">
        <v>6.35</v>
      </c>
      <c r="G114" s="287"/>
      <c r="H114" s="288">
        <f t="shared" si="43"/>
        <v>17.149999999999999</v>
      </c>
      <c r="I114" s="289"/>
      <c r="J114" s="230"/>
      <c r="K114" s="242">
        <f t="shared" si="49"/>
        <v>0</v>
      </c>
      <c r="L114" s="242">
        <f t="shared" si="49"/>
        <v>90085.15</v>
      </c>
      <c r="M114" s="242">
        <f t="shared" si="50"/>
        <v>25971.5</v>
      </c>
      <c r="N114" s="242"/>
      <c r="O114" s="242">
        <f t="shared" si="40"/>
        <v>116056.65</v>
      </c>
    </row>
    <row r="115" spans="1:15" s="231" customFormat="1" ht="25.5" x14ac:dyDescent="0.2">
      <c r="A115" s="284" t="s">
        <v>262</v>
      </c>
      <c r="B115" s="285" t="s">
        <v>206</v>
      </c>
      <c r="C115" s="285" t="s">
        <v>207</v>
      </c>
      <c r="D115" s="286">
        <f>SUM(D116:D120)</f>
        <v>145.15</v>
      </c>
      <c r="E115" s="286">
        <f t="shared" ref="E115:F115" si="51">SUM(E116:E120)</f>
        <v>29.1</v>
      </c>
      <c r="F115" s="286">
        <f t="shared" si="51"/>
        <v>1010.4</v>
      </c>
      <c r="G115" s="287"/>
      <c r="H115" s="288">
        <f t="shared" si="43"/>
        <v>1184.6500000000001</v>
      </c>
      <c r="I115" s="289"/>
      <c r="J115" s="230"/>
      <c r="K115" s="286">
        <f>SUM(K116:K120)</f>
        <v>1210727.8</v>
      </c>
      <c r="L115" s="286">
        <f t="shared" ref="L115:M115" si="52">SUM(L116:L120)</f>
        <v>242729.45</v>
      </c>
      <c r="M115" s="286">
        <f t="shared" si="52"/>
        <v>4132536</v>
      </c>
      <c r="N115" s="242"/>
      <c r="O115" s="242">
        <f t="shared" si="40"/>
        <v>5585993.25</v>
      </c>
    </row>
    <row r="116" spans="1:15" s="291" customFormat="1" outlineLevel="1" x14ac:dyDescent="0.2">
      <c r="A116" s="246" t="s">
        <v>428</v>
      </c>
      <c r="B116" s="247"/>
      <c r="C116" s="247" t="s">
        <v>362</v>
      </c>
      <c r="D116" s="248">
        <f>92.5+0.01</f>
        <v>92.51</v>
      </c>
      <c r="E116" s="248"/>
      <c r="F116" s="248"/>
      <c r="G116" s="249"/>
      <c r="H116" s="250">
        <f t="shared" si="43"/>
        <v>92.51</v>
      </c>
      <c r="I116" s="251"/>
      <c r="J116" s="290"/>
      <c r="K116" s="253">
        <f t="shared" ref="K116:L121" si="53">((D116)*1.023*1.01-(D116)*0.023*0.15)*8.1*1000</f>
        <v>771646.08</v>
      </c>
      <c r="L116" s="253">
        <f t="shared" si="53"/>
        <v>0</v>
      </c>
      <c r="M116" s="253">
        <f t="shared" ref="M116:M121" si="54">F116*4.09*1000</f>
        <v>0</v>
      </c>
      <c r="N116" s="253"/>
      <c r="O116" s="253">
        <f t="shared" si="40"/>
        <v>771646.08</v>
      </c>
    </row>
    <row r="117" spans="1:15" s="291" customFormat="1" outlineLevel="1" x14ac:dyDescent="0.2">
      <c r="A117" s="246" t="s">
        <v>429</v>
      </c>
      <c r="B117" s="247"/>
      <c r="C117" s="247" t="s">
        <v>364</v>
      </c>
      <c r="D117" s="248"/>
      <c r="E117" s="248">
        <v>28.51</v>
      </c>
      <c r="F117" s="248">
        <f>983.09+0.01</f>
        <v>983.1</v>
      </c>
      <c r="G117" s="249"/>
      <c r="H117" s="250">
        <f t="shared" si="43"/>
        <v>1011.61</v>
      </c>
      <c r="I117" s="251"/>
      <c r="J117" s="290"/>
      <c r="K117" s="253">
        <f t="shared" si="53"/>
        <v>0</v>
      </c>
      <c r="L117" s="253">
        <f t="shared" si="53"/>
        <v>237808.13</v>
      </c>
      <c r="M117" s="253">
        <f t="shared" si="54"/>
        <v>4020879</v>
      </c>
      <c r="N117" s="253"/>
      <c r="O117" s="253">
        <f t="shared" si="40"/>
        <v>4258687.13</v>
      </c>
    </row>
    <row r="118" spans="1:15" s="291" customFormat="1" outlineLevel="1" x14ac:dyDescent="0.2">
      <c r="A118" s="246" t="s">
        <v>430</v>
      </c>
      <c r="B118" s="247"/>
      <c r="C118" s="247" t="s">
        <v>365</v>
      </c>
      <c r="D118" s="248">
        <v>16.29</v>
      </c>
      <c r="E118" s="248">
        <v>0.59</v>
      </c>
      <c r="F118" s="248">
        <v>13.69</v>
      </c>
      <c r="G118" s="249"/>
      <c r="H118" s="250">
        <f t="shared" si="43"/>
        <v>30.57</v>
      </c>
      <c r="I118" s="251"/>
      <c r="J118" s="290"/>
      <c r="K118" s="253">
        <f t="shared" si="53"/>
        <v>135878.44</v>
      </c>
      <c r="L118" s="253">
        <f t="shared" si="53"/>
        <v>4921.32</v>
      </c>
      <c r="M118" s="253">
        <f t="shared" si="54"/>
        <v>55992.1</v>
      </c>
      <c r="N118" s="253"/>
      <c r="O118" s="253">
        <f t="shared" si="40"/>
        <v>196791.86</v>
      </c>
    </row>
    <row r="119" spans="1:15" s="291" customFormat="1" outlineLevel="1" x14ac:dyDescent="0.2">
      <c r="A119" s="246" t="s">
        <v>431</v>
      </c>
      <c r="B119" s="247"/>
      <c r="C119" s="247" t="s">
        <v>368</v>
      </c>
      <c r="D119" s="248">
        <v>0.5</v>
      </c>
      <c r="E119" s="248"/>
      <c r="F119" s="248">
        <v>13.61</v>
      </c>
      <c r="G119" s="249"/>
      <c r="H119" s="250">
        <f t="shared" si="43"/>
        <v>14.11</v>
      </c>
      <c r="I119" s="251"/>
      <c r="J119" s="290"/>
      <c r="K119" s="253">
        <f t="shared" si="53"/>
        <v>4170.6099999999997</v>
      </c>
      <c r="L119" s="253">
        <f t="shared" si="53"/>
        <v>0</v>
      </c>
      <c r="M119" s="253">
        <f t="shared" si="54"/>
        <v>55664.9</v>
      </c>
      <c r="N119" s="253"/>
      <c r="O119" s="253">
        <f t="shared" si="40"/>
        <v>59835.51</v>
      </c>
    </row>
    <row r="120" spans="1:15" s="291" customFormat="1" ht="25.5" outlineLevel="1" x14ac:dyDescent="0.2">
      <c r="A120" s="246" t="s">
        <v>889</v>
      </c>
      <c r="B120" s="247" t="s">
        <v>229</v>
      </c>
      <c r="C120" s="247" t="s">
        <v>230</v>
      </c>
      <c r="D120" s="248">
        <v>35.85</v>
      </c>
      <c r="E120" s="248"/>
      <c r="F120" s="248"/>
      <c r="G120" s="249"/>
      <c r="H120" s="250">
        <f>SUM(D120:G120)</f>
        <v>35.85</v>
      </c>
      <c r="I120" s="251"/>
      <c r="J120" s="290"/>
      <c r="K120" s="253">
        <f>((D120)*1.023*1.01-(D120)*0.023*0.15)*8.1*1000</f>
        <v>299032.67</v>
      </c>
      <c r="L120" s="253">
        <f>((E120)*1.023*1.01-(E120)*0.023*0.15)*8.1*1000</f>
        <v>0</v>
      </c>
      <c r="M120" s="253">
        <f t="shared" si="54"/>
        <v>0</v>
      </c>
      <c r="N120" s="253"/>
      <c r="O120" s="253">
        <f>SUM(K120:N120)</f>
        <v>299032.67</v>
      </c>
    </row>
    <row r="121" spans="1:15" s="231" customFormat="1" ht="25.5" x14ac:dyDescent="0.2">
      <c r="A121" s="284" t="s">
        <v>263</v>
      </c>
      <c r="B121" s="285" t="s">
        <v>208</v>
      </c>
      <c r="C121" s="285" t="s">
        <v>209</v>
      </c>
      <c r="D121" s="286"/>
      <c r="E121" s="286">
        <v>50.29</v>
      </c>
      <c r="F121" s="286">
        <v>13.66</v>
      </c>
      <c r="G121" s="287"/>
      <c r="H121" s="288">
        <f t="shared" si="43"/>
        <v>63.95</v>
      </c>
      <c r="I121" s="289"/>
      <c r="J121" s="230"/>
      <c r="K121" s="242">
        <f t="shared" si="53"/>
        <v>0</v>
      </c>
      <c r="L121" s="242">
        <f t="shared" si="53"/>
        <v>419479.85</v>
      </c>
      <c r="M121" s="242">
        <f t="shared" si="54"/>
        <v>55869.4</v>
      </c>
      <c r="N121" s="242"/>
      <c r="O121" s="242">
        <f t="shared" si="40"/>
        <v>475349.25</v>
      </c>
    </row>
    <row r="122" spans="1:15" s="231" customFormat="1" ht="25.5" x14ac:dyDescent="0.2">
      <c r="A122" s="284" t="s">
        <v>264</v>
      </c>
      <c r="B122" s="285"/>
      <c r="C122" s="285" t="s">
        <v>211</v>
      </c>
      <c r="D122" s="286">
        <f>SUM(D123:D125)</f>
        <v>2435.96</v>
      </c>
      <c r="E122" s="286">
        <f>SUM(E123:E125)</f>
        <v>6.1</v>
      </c>
      <c r="F122" s="286"/>
      <c r="G122" s="287"/>
      <c r="H122" s="288">
        <f t="shared" si="43"/>
        <v>2442.06</v>
      </c>
      <c r="I122" s="289"/>
      <c r="J122" s="230"/>
      <c r="K122" s="286">
        <f>SUM(K123:K125)</f>
        <v>20318873.399999999</v>
      </c>
      <c r="L122" s="286">
        <f t="shared" ref="L122" si="55">SUM(L123:L125)</f>
        <v>50881.43</v>
      </c>
      <c r="M122" s="286"/>
      <c r="N122" s="242"/>
      <c r="O122" s="242">
        <f t="shared" si="40"/>
        <v>20369754.829999998</v>
      </c>
    </row>
    <row r="123" spans="1:15" s="291" customFormat="1" ht="15" customHeight="1" outlineLevel="1" x14ac:dyDescent="0.2">
      <c r="A123" s="246" t="s">
        <v>432</v>
      </c>
      <c r="B123" s="247" t="s">
        <v>210</v>
      </c>
      <c r="C123" s="247" t="s">
        <v>433</v>
      </c>
      <c r="D123" s="248">
        <v>745.68</v>
      </c>
      <c r="E123" s="248"/>
      <c r="F123" s="248"/>
      <c r="G123" s="249"/>
      <c r="H123" s="250"/>
      <c r="I123" s="251"/>
      <c r="J123" s="290"/>
      <c r="K123" s="253">
        <f t="shared" ref="K123:L126" si="56">((D123)*1.023*1.01-(D123)*0.023*0.15)*8.1*1000</f>
        <v>6219879.4400000004</v>
      </c>
      <c r="L123" s="253">
        <f t="shared" si="56"/>
        <v>0</v>
      </c>
      <c r="M123" s="253"/>
      <c r="N123" s="253"/>
      <c r="O123" s="253">
        <f t="shared" si="40"/>
        <v>6219879.4400000004</v>
      </c>
    </row>
    <row r="124" spans="1:15" s="291" customFormat="1" ht="15" customHeight="1" outlineLevel="1" x14ac:dyDescent="0.2">
      <c r="A124" s="246" t="s">
        <v>434</v>
      </c>
      <c r="B124" s="247" t="s">
        <v>210</v>
      </c>
      <c r="C124" s="247" t="s">
        <v>364</v>
      </c>
      <c r="D124" s="248">
        <f>1121.03-0.01</f>
        <v>1121.02</v>
      </c>
      <c r="E124" s="248">
        <v>6.1</v>
      </c>
      <c r="F124" s="248"/>
      <c r="G124" s="249"/>
      <c r="H124" s="250"/>
      <c r="I124" s="251"/>
      <c r="J124" s="290"/>
      <c r="K124" s="253">
        <f t="shared" si="56"/>
        <v>9350672.1999999993</v>
      </c>
      <c r="L124" s="253">
        <f t="shared" si="56"/>
        <v>50881.43</v>
      </c>
      <c r="M124" s="253"/>
      <c r="N124" s="253"/>
      <c r="O124" s="253">
        <f t="shared" si="40"/>
        <v>9401553.6300000008</v>
      </c>
    </row>
    <row r="125" spans="1:15" s="291" customFormat="1" ht="25.5" x14ac:dyDescent="0.2">
      <c r="A125" s="246" t="s">
        <v>890</v>
      </c>
      <c r="B125" s="247" t="s">
        <v>231</v>
      </c>
      <c r="C125" s="247" t="s">
        <v>232</v>
      </c>
      <c r="D125" s="248">
        <v>569.26</v>
      </c>
      <c r="E125" s="248"/>
      <c r="F125" s="248"/>
      <c r="G125" s="249"/>
      <c r="H125" s="250">
        <f>SUM(D125:G125)</f>
        <v>569.26</v>
      </c>
      <c r="I125" s="251"/>
      <c r="J125" s="290"/>
      <c r="K125" s="253">
        <f>((D125)*1.023*1.01-(D125)*0.023*0.15)*8.1*1000</f>
        <v>4748321.76</v>
      </c>
      <c r="L125" s="253">
        <f>((E125)*1.023*1.01-(E125)*0.023*0.15)*8.1*1000</f>
        <v>0</v>
      </c>
      <c r="M125" s="253"/>
      <c r="N125" s="253"/>
      <c r="O125" s="253">
        <f>SUM(K125:N125)</f>
        <v>4748321.76</v>
      </c>
    </row>
    <row r="126" spans="1:15" s="231" customFormat="1" ht="25.5" x14ac:dyDescent="0.2">
      <c r="A126" s="284" t="s">
        <v>265</v>
      </c>
      <c r="B126" s="285" t="s">
        <v>212</v>
      </c>
      <c r="C126" s="285" t="s">
        <v>213</v>
      </c>
      <c r="D126" s="286">
        <v>0.53</v>
      </c>
      <c r="E126" s="286">
        <v>87.34</v>
      </c>
      <c r="F126" s="286">
        <v>4.95</v>
      </c>
      <c r="G126" s="287"/>
      <c r="H126" s="288">
        <f t="shared" si="43"/>
        <v>92.82</v>
      </c>
      <c r="I126" s="289"/>
      <c r="J126" s="230"/>
      <c r="K126" s="242">
        <f t="shared" si="56"/>
        <v>4420.8500000000004</v>
      </c>
      <c r="L126" s="242">
        <f t="shared" si="56"/>
        <v>728521.98</v>
      </c>
      <c r="M126" s="242">
        <f>F126*4.09*1000</f>
        <v>20245.5</v>
      </c>
      <c r="N126" s="242"/>
      <c r="O126" s="242">
        <f t="shared" si="40"/>
        <v>753188.33</v>
      </c>
    </row>
    <row r="127" spans="1:15" s="231" customFormat="1" ht="25.5" x14ac:dyDescent="0.2">
      <c r="A127" s="284" t="s">
        <v>266</v>
      </c>
      <c r="B127" s="285" t="s">
        <v>214</v>
      </c>
      <c r="C127" s="285" t="s">
        <v>215</v>
      </c>
      <c r="D127" s="286"/>
      <c r="E127" s="286">
        <f>SUM(E128:E130)</f>
        <v>10.210000000000001</v>
      </c>
      <c r="F127" s="286">
        <f>SUM(F128:F130)</f>
        <v>16.760000000000002</v>
      </c>
      <c r="G127" s="287"/>
      <c r="H127" s="288">
        <f>SUM(D127:G127)</f>
        <v>26.97</v>
      </c>
      <c r="I127" s="289"/>
      <c r="J127" s="230"/>
      <c r="K127" s="242">
        <f t="shared" ref="K127:M127" si="57">SUM(K128:K130)</f>
        <v>0</v>
      </c>
      <c r="L127" s="242">
        <f t="shared" si="57"/>
        <v>85163.839999999997</v>
      </c>
      <c r="M127" s="242">
        <f t="shared" si="57"/>
        <v>68548.399999999994</v>
      </c>
      <c r="N127" s="242"/>
      <c r="O127" s="242">
        <f t="shared" si="40"/>
        <v>153712.24</v>
      </c>
    </row>
    <row r="128" spans="1:15" s="291" customFormat="1" ht="25.5" outlineLevel="1" x14ac:dyDescent="0.2">
      <c r="A128" s="246" t="s">
        <v>435</v>
      </c>
      <c r="B128" s="247"/>
      <c r="C128" s="247" t="s">
        <v>381</v>
      </c>
      <c r="D128" s="248"/>
      <c r="E128" s="248">
        <v>2.2400000000000002</v>
      </c>
      <c r="F128" s="248">
        <v>4.24</v>
      </c>
      <c r="G128" s="249"/>
      <c r="H128" s="250"/>
      <c r="I128" s="251"/>
      <c r="J128" s="290"/>
      <c r="K128" s="253">
        <f t="shared" ref="K128:L130" si="58">((D128)*1.023*1.01-(D128)*0.023*0.15)*8.1*1000</f>
        <v>0</v>
      </c>
      <c r="L128" s="253">
        <f t="shared" si="58"/>
        <v>18684.330000000002</v>
      </c>
      <c r="M128" s="253">
        <f>F128*4.09*1000</f>
        <v>17341.599999999999</v>
      </c>
      <c r="N128" s="253"/>
      <c r="O128" s="253">
        <f t="shared" si="40"/>
        <v>36025.93</v>
      </c>
    </row>
    <row r="129" spans="1:16" s="291" customFormat="1" ht="25.5" outlineLevel="1" x14ac:dyDescent="0.2">
      <c r="A129" s="246" t="s">
        <v>436</v>
      </c>
      <c r="B129" s="247"/>
      <c r="C129" s="247" t="s">
        <v>382</v>
      </c>
      <c r="D129" s="248"/>
      <c r="E129" s="248">
        <v>2.3199999999999998</v>
      </c>
      <c r="F129" s="248">
        <v>4.24</v>
      </c>
      <c r="G129" s="249"/>
      <c r="H129" s="250"/>
      <c r="I129" s="251"/>
      <c r="J129" s="290"/>
      <c r="K129" s="253">
        <f t="shared" si="58"/>
        <v>0</v>
      </c>
      <c r="L129" s="253">
        <f t="shared" si="58"/>
        <v>19351.63</v>
      </c>
      <c r="M129" s="253">
        <f>F129*4.09*1000</f>
        <v>17341.599999999999</v>
      </c>
      <c r="N129" s="253"/>
      <c r="O129" s="253">
        <f t="shared" si="40"/>
        <v>36693.230000000003</v>
      </c>
    </row>
    <row r="130" spans="1:16" s="291" customFormat="1" ht="25.5" outlineLevel="1" x14ac:dyDescent="0.2">
      <c r="A130" s="246" t="s">
        <v>437</v>
      </c>
      <c r="B130" s="247"/>
      <c r="C130" s="247" t="s">
        <v>385</v>
      </c>
      <c r="D130" s="248"/>
      <c r="E130" s="248">
        <f>5.66-0.01</f>
        <v>5.65</v>
      </c>
      <c r="F130" s="248">
        <v>8.2799999999999994</v>
      </c>
      <c r="G130" s="249"/>
      <c r="H130" s="250"/>
      <c r="I130" s="251"/>
      <c r="J130" s="290"/>
      <c r="K130" s="253">
        <f t="shared" si="58"/>
        <v>0</v>
      </c>
      <c r="L130" s="253">
        <f t="shared" si="58"/>
        <v>47127.88</v>
      </c>
      <c r="M130" s="253">
        <f>F130*4.09*1000</f>
        <v>33865.199999999997</v>
      </c>
      <c r="N130" s="253"/>
      <c r="O130" s="253">
        <f t="shared" si="40"/>
        <v>80993.08</v>
      </c>
    </row>
    <row r="131" spans="1:16" s="231" customFormat="1" ht="25.5" x14ac:dyDescent="0.2">
      <c r="A131" s="284" t="s">
        <v>267</v>
      </c>
      <c r="B131" s="285" t="s">
        <v>216</v>
      </c>
      <c r="C131" s="285" t="s">
        <v>217</v>
      </c>
      <c r="D131" s="286"/>
      <c r="E131" s="286">
        <f>SUM(E132:E134)</f>
        <v>11.74</v>
      </c>
      <c r="F131" s="286">
        <f>SUM(F132:F134)</f>
        <v>40.47</v>
      </c>
      <c r="G131" s="287"/>
      <c r="H131" s="288">
        <f t="shared" si="43"/>
        <v>52.21</v>
      </c>
      <c r="I131" s="289"/>
      <c r="J131" s="230"/>
      <c r="K131" s="242">
        <f t="shared" ref="K131:M131" si="59">SUM(K132:K134)</f>
        <v>0</v>
      </c>
      <c r="L131" s="242">
        <f t="shared" si="59"/>
        <v>97925.9</v>
      </c>
      <c r="M131" s="242">
        <f t="shared" si="59"/>
        <v>165522.29999999999</v>
      </c>
      <c r="N131" s="242"/>
      <c r="O131" s="242">
        <f t="shared" si="40"/>
        <v>263448.2</v>
      </c>
    </row>
    <row r="132" spans="1:16" s="255" customFormat="1" ht="25.5" outlineLevel="1" x14ac:dyDescent="0.2">
      <c r="A132" s="246" t="s">
        <v>438</v>
      </c>
      <c r="B132" s="247"/>
      <c r="C132" s="247" t="s">
        <v>389</v>
      </c>
      <c r="D132" s="248"/>
      <c r="E132" s="248">
        <v>2.0299999999999998</v>
      </c>
      <c r="F132" s="248">
        <v>5.94</v>
      </c>
      <c r="G132" s="249"/>
      <c r="H132" s="250"/>
      <c r="I132" s="251"/>
      <c r="J132" s="252"/>
      <c r="K132" s="253">
        <f t="shared" ref="K132:L135" si="60">((D132)*1.023*1.01-(D132)*0.023*0.15)*8.1*1000</f>
        <v>0</v>
      </c>
      <c r="L132" s="253">
        <f t="shared" si="60"/>
        <v>16932.669999999998</v>
      </c>
      <c r="M132" s="253">
        <f>F132*4.09*1000</f>
        <v>24294.6</v>
      </c>
      <c r="N132" s="253"/>
      <c r="O132" s="253">
        <f t="shared" si="40"/>
        <v>41227.269999999997</v>
      </c>
    </row>
    <row r="133" spans="1:16" s="255" customFormat="1" ht="25.5" outlineLevel="1" x14ac:dyDescent="0.2">
      <c r="A133" s="246" t="s">
        <v>439</v>
      </c>
      <c r="B133" s="247"/>
      <c r="C133" s="247" t="s">
        <v>390</v>
      </c>
      <c r="D133" s="248"/>
      <c r="E133" s="248">
        <v>2.5299999999999998</v>
      </c>
      <c r="F133" s="248">
        <v>6.39</v>
      </c>
      <c r="G133" s="249"/>
      <c r="H133" s="250"/>
      <c r="I133" s="251"/>
      <c r="J133" s="252"/>
      <c r="K133" s="253">
        <f t="shared" si="60"/>
        <v>0</v>
      </c>
      <c r="L133" s="253">
        <f t="shared" si="60"/>
        <v>21103.279999999999</v>
      </c>
      <c r="M133" s="253">
        <f>F133*4.09*1000</f>
        <v>26135.1</v>
      </c>
      <c r="N133" s="253"/>
      <c r="O133" s="253">
        <f t="shared" si="40"/>
        <v>47238.38</v>
      </c>
    </row>
    <row r="134" spans="1:16" s="255" customFormat="1" ht="21" customHeight="1" outlineLevel="1" x14ac:dyDescent="0.2">
      <c r="A134" s="246" t="s">
        <v>440</v>
      </c>
      <c r="B134" s="247"/>
      <c r="C134" s="247" t="s">
        <v>441</v>
      </c>
      <c r="D134" s="248"/>
      <c r="E134" s="248">
        <v>7.18</v>
      </c>
      <c r="F134" s="248">
        <f>28.15-0.01</f>
        <v>28.14</v>
      </c>
      <c r="G134" s="249"/>
      <c r="H134" s="250"/>
      <c r="I134" s="251"/>
      <c r="J134" s="252"/>
      <c r="K134" s="253">
        <f t="shared" si="60"/>
        <v>0</v>
      </c>
      <c r="L134" s="253">
        <f t="shared" si="60"/>
        <v>59889.95</v>
      </c>
      <c r="M134" s="253">
        <f>F134*4.09*1000</f>
        <v>115092.6</v>
      </c>
      <c r="N134" s="253"/>
      <c r="O134" s="253">
        <f t="shared" si="40"/>
        <v>174982.55</v>
      </c>
    </row>
    <row r="135" spans="1:16" s="231" customFormat="1" ht="25.5" x14ac:dyDescent="0.2">
      <c r="A135" s="284" t="s">
        <v>268</v>
      </c>
      <c r="B135" s="285" t="s">
        <v>218</v>
      </c>
      <c r="C135" s="285" t="s">
        <v>219</v>
      </c>
      <c r="D135" s="286"/>
      <c r="E135" s="286">
        <v>1.02</v>
      </c>
      <c r="F135" s="286">
        <v>18.16</v>
      </c>
      <c r="G135" s="287"/>
      <c r="H135" s="288">
        <f t="shared" si="43"/>
        <v>19.18</v>
      </c>
      <c r="I135" s="289"/>
      <c r="J135" s="230"/>
      <c r="K135" s="242">
        <f t="shared" si="60"/>
        <v>0</v>
      </c>
      <c r="L135" s="242">
        <f t="shared" si="60"/>
        <v>8508.0400000000009</v>
      </c>
      <c r="M135" s="242">
        <f>F135*4.09*1000</f>
        <v>74274.399999999994</v>
      </c>
      <c r="N135" s="242"/>
      <c r="O135" s="242">
        <f t="shared" si="40"/>
        <v>82782.44</v>
      </c>
    </row>
    <row r="136" spans="1:16" s="231" customFormat="1" ht="21" customHeight="1" x14ac:dyDescent="0.2">
      <c r="A136" s="284" t="s">
        <v>269</v>
      </c>
      <c r="B136" s="285" t="s">
        <v>220</v>
      </c>
      <c r="C136" s="285" t="s">
        <v>221</v>
      </c>
      <c r="D136" s="286"/>
      <c r="E136" s="286">
        <f>SUM(E137:E139)</f>
        <v>7.75</v>
      </c>
      <c r="F136" s="286">
        <f>SUM(F137:F139)</f>
        <v>4.01</v>
      </c>
      <c r="G136" s="287"/>
      <c r="H136" s="288">
        <f t="shared" si="43"/>
        <v>11.76</v>
      </c>
      <c r="I136" s="289"/>
      <c r="J136" s="230"/>
      <c r="K136" s="242">
        <f t="shared" ref="K136" si="61">SUM(K137:K139)</f>
        <v>0</v>
      </c>
      <c r="L136" s="242">
        <f>SUM(L137:L139)</f>
        <v>64644.45</v>
      </c>
      <c r="M136" s="242">
        <f>SUM(M137:M139)</f>
        <v>16400.900000000001</v>
      </c>
      <c r="N136" s="242"/>
      <c r="O136" s="242">
        <f t="shared" si="40"/>
        <v>81045.350000000006</v>
      </c>
    </row>
    <row r="137" spans="1:16" s="255" customFormat="1" ht="25.5" outlineLevel="1" x14ac:dyDescent="0.2">
      <c r="A137" s="246" t="s">
        <v>442</v>
      </c>
      <c r="B137" s="247"/>
      <c r="C137" s="247" t="s">
        <v>381</v>
      </c>
      <c r="D137" s="248"/>
      <c r="E137" s="248">
        <v>1.95</v>
      </c>
      <c r="F137" s="248">
        <v>1.34</v>
      </c>
      <c r="G137" s="249"/>
      <c r="H137" s="250"/>
      <c r="I137" s="251"/>
      <c r="J137" s="252"/>
      <c r="K137" s="253">
        <f t="shared" ref="K137:K140" si="62">((D137)*1.023*1.01-(D137)*0.023*0.15)*8.1*1000</f>
        <v>0</v>
      </c>
      <c r="L137" s="253">
        <f t="shared" ref="L137:L140" si="63">((E137)*1.023*1.01-(E137)*0.023*0.15)*8.1*1000</f>
        <v>16265.38</v>
      </c>
      <c r="M137" s="253">
        <f t="shared" ref="M137:M140" si="64">F137*4.09*1000</f>
        <v>5480.6</v>
      </c>
      <c r="N137" s="253"/>
      <c r="O137" s="253">
        <f t="shared" si="40"/>
        <v>21745.98</v>
      </c>
    </row>
    <row r="138" spans="1:16" s="255" customFormat="1" ht="25.5" outlineLevel="1" x14ac:dyDescent="0.2">
      <c r="A138" s="246" t="s">
        <v>443</v>
      </c>
      <c r="B138" s="247"/>
      <c r="C138" s="247" t="s">
        <v>382</v>
      </c>
      <c r="D138" s="248"/>
      <c r="E138" s="248">
        <v>2.61</v>
      </c>
      <c r="F138" s="248">
        <v>1.36</v>
      </c>
      <c r="G138" s="249"/>
      <c r="H138" s="250"/>
      <c r="I138" s="251"/>
      <c r="J138" s="252"/>
      <c r="K138" s="253">
        <f t="shared" si="62"/>
        <v>0</v>
      </c>
      <c r="L138" s="253">
        <f t="shared" si="63"/>
        <v>21770.58</v>
      </c>
      <c r="M138" s="253">
        <f t="shared" si="64"/>
        <v>5562.4</v>
      </c>
      <c r="N138" s="253"/>
      <c r="O138" s="253">
        <f t="shared" si="40"/>
        <v>27332.98</v>
      </c>
    </row>
    <row r="139" spans="1:16" s="255" customFormat="1" ht="25.5" outlineLevel="1" x14ac:dyDescent="0.2">
      <c r="A139" s="246" t="s">
        <v>444</v>
      </c>
      <c r="B139" s="247"/>
      <c r="C139" s="247" t="s">
        <v>385</v>
      </c>
      <c r="D139" s="248"/>
      <c r="E139" s="248">
        <f>3.2-0.01</f>
        <v>3.19</v>
      </c>
      <c r="F139" s="248">
        <f>1.32-0.01</f>
        <v>1.31</v>
      </c>
      <c r="G139" s="249"/>
      <c r="H139" s="250"/>
      <c r="I139" s="251"/>
      <c r="J139" s="252"/>
      <c r="K139" s="253">
        <f t="shared" si="62"/>
        <v>0</v>
      </c>
      <c r="L139" s="253">
        <f t="shared" si="63"/>
        <v>26608.49</v>
      </c>
      <c r="M139" s="253">
        <f t="shared" si="64"/>
        <v>5357.9</v>
      </c>
      <c r="N139" s="253"/>
      <c r="O139" s="253">
        <f t="shared" si="40"/>
        <v>31966.39</v>
      </c>
    </row>
    <row r="140" spans="1:16" s="231" customFormat="1" ht="38.25" x14ac:dyDescent="0.2">
      <c r="A140" s="284" t="s">
        <v>270</v>
      </c>
      <c r="B140" s="285" t="s">
        <v>222</v>
      </c>
      <c r="C140" s="285" t="s">
        <v>880</v>
      </c>
      <c r="D140" s="286">
        <v>19.32</v>
      </c>
      <c r="E140" s="286">
        <v>238.71</v>
      </c>
      <c r="F140" s="286"/>
      <c r="G140" s="287"/>
      <c r="H140" s="288">
        <f t="shared" si="43"/>
        <v>258.02999999999997</v>
      </c>
      <c r="I140" s="289"/>
      <c r="J140" s="230"/>
      <c r="K140" s="242">
        <f t="shared" si="62"/>
        <v>161152.32999999999</v>
      </c>
      <c r="L140" s="242">
        <f t="shared" si="63"/>
        <v>1991132.15</v>
      </c>
      <c r="M140" s="242">
        <f t="shared" si="64"/>
        <v>0</v>
      </c>
      <c r="N140" s="242"/>
      <c r="O140" s="242">
        <f t="shared" si="40"/>
        <v>2152284.48</v>
      </c>
    </row>
    <row r="141" spans="1:16" s="265" customFormat="1" x14ac:dyDescent="0.2">
      <c r="A141" s="258">
        <v>7</v>
      </c>
      <c r="B141" s="179" t="s">
        <v>39</v>
      </c>
      <c r="C141" s="179" t="s">
        <v>40</v>
      </c>
      <c r="D141" s="259">
        <f>D142+D164+D191</f>
        <v>55481.04</v>
      </c>
      <c r="E141" s="260"/>
      <c r="F141" s="260"/>
      <c r="G141" s="260"/>
      <c r="H141" s="261">
        <f>SUM(H143:H206)</f>
        <v>159365.03</v>
      </c>
      <c r="I141" s="262"/>
      <c r="J141" s="263"/>
      <c r="K141" s="264">
        <f>K142+K164+K191</f>
        <v>462779449.50999999</v>
      </c>
      <c r="L141" s="264"/>
      <c r="M141" s="264"/>
      <c r="N141" s="264"/>
      <c r="O141" s="264">
        <f t="shared" ref="O141:O154" si="65">SUM(K141:N141)</f>
        <v>462779449.50999999</v>
      </c>
    </row>
    <row r="142" spans="1:16" s="241" customFormat="1" ht="25.5" x14ac:dyDescent="0.2">
      <c r="A142" s="245" t="s">
        <v>338</v>
      </c>
      <c r="B142" s="235"/>
      <c r="C142" s="235" t="s">
        <v>855</v>
      </c>
      <c r="D142" s="237">
        <f>D143+D151+D155+D158+D161</f>
        <v>6242.04</v>
      </c>
      <c r="E142" s="243"/>
      <c r="F142" s="243"/>
      <c r="G142" s="243"/>
      <c r="H142" s="244">
        <f>SUM(D142:G142)</f>
        <v>6242.04</v>
      </c>
      <c r="I142" s="238"/>
      <c r="J142" s="239"/>
      <c r="K142" s="240">
        <f>K143+K151+K155+K158+K161</f>
        <v>52066216.409999996</v>
      </c>
      <c r="L142" s="240"/>
      <c r="M142" s="240"/>
      <c r="N142" s="240"/>
      <c r="O142" s="244">
        <f t="shared" si="65"/>
        <v>52066216.409999996</v>
      </c>
    </row>
    <row r="143" spans="1:16" s="231" customFormat="1" outlineLevel="1" x14ac:dyDescent="0.2">
      <c r="A143" s="284" t="s">
        <v>460</v>
      </c>
      <c r="B143" s="285" t="s">
        <v>317</v>
      </c>
      <c r="C143" s="285" t="s">
        <v>318</v>
      </c>
      <c r="D143" s="286">
        <f>SUM(D144:D150)</f>
        <v>4564.1000000000004</v>
      </c>
      <c r="E143" s="286"/>
      <c r="F143" s="286"/>
      <c r="G143" s="287"/>
      <c r="H143" s="288">
        <f>SUM(D143:G143)</f>
        <v>4564.1000000000004</v>
      </c>
      <c r="I143" s="289"/>
      <c r="J143" s="230"/>
      <c r="K143" s="242">
        <f>SUM(K144:K150)</f>
        <v>38070153.07</v>
      </c>
      <c r="L143" s="242"/>
      <c r="M143" s="242"/>
      <c r="N143" s="242"/>
      <c r="O143" s="242">
        <f t="shared" si="65"/>
        <v>38070153.07</v>
      </c>
      <c r="P143" s="704" t="s">
        <v>759</v>
      </c>
    </row>
    <row r="144" spans="1:16" s="291" customFormat="1" outlineLevel="2" x14ac:dyDescent="0.2">
      <c r="A144" s="246" t="s">
        <v>813</v>
      </c>
      <c r="B144" s="247"/>
      <c r="C144" s="247" t="s">
        <v>374</v>
      </c>
      <c r="D144" s="248">
        <v>143.57</v>
      </c>
      <c r="E144" s="248"/>
      <c r="F144" s="248"/>
      <c r="G144" s="249"/>
      <c r="H144" s="250">
        <f t="shared" ref="H144:H156" si="66">SUM(D144:G144)</f>
        <v>143.57</v>
      </c>
      <c r="I144" s="251"/>
      <c r="J144" s="290"/>
      <c r="K144" s="253">
        <f t="shared" ref="K144:K149" si="67">((D144)*1.023*1.01-(D144)*0.023*0.15)*8.1*1000</f>
        <v>1197548.67</v>
      </c>
      <c r="L144" s="253"/>
      <c r="M144" s="253"/>
      <c r="N144" s="253"/>
      <c r="O144" s="253">
        <f t="shared" si="65"/>
        <v>1197548.67</v>
      </c>
      <c r="P144" s="704"/>
    </row>
    <row r="145" spans="1:16" s="291" customFormat="1" outlineLevel="2" x14ac:dyDescent="0.2">
      <c r="A145" s="246" t="s">
        <v>814</v>
      </c>
      <c r="B145" s="247"/>
      <c r="C145" s="247" t="s">
        <v>465</v>
      </c>
      <c r="D145" s="248">
        <v>959.58</v>
      </c>
      <c r="E145" s="248"/>
      <c r="F145" s="248"/>
      <c r="G145" s="249"/>
      <c r="H145" s="250">
        <f t="shared" si="66"/>
        <v>959.58</v>
      </c>
      <c r="I145" s="251"/>
      <c r="J145" s="290"/>
      <c r="K145" s="253">
        <f t="shared" si="67"/>
        <v>8004065.9699999997</v>
      </c>
      <c r="L145" s="253"/>
      <c r="M145" s="253"/>
      <c r="N145" s="253"/>
      <c r="O145" s="253">
        <f t="shared" si="65"/>
        <v>8004065.9699999997</v>
      </c>
      <c r="P145" s="704"/>
    </row>
    <row r="146" spans="1:16" s="291" customFormat="1" ht="25.5" outlineLevel="2" x14ac:dyDescent="0.2">
      <c r="A146" s="246" t="s">
        <v>815</v>
      </c>
      <c r="B146" s="247"/>
      <c r="C146" s="247" t="s">
        <v>466</v>
      </c>
      <c r="D146" s="248">
        <v>178.59</v>
      </c>
      <c r="E146" s="248"/>
      <c r="F146" s="248"/>
      <c r="G146" s="249"/>
      <c r="H146" s="250">
        <f t="shared" si="66"/>
        <v>178.59</v>
      </c>
      <c r="I146" s="251"/>
      <c r="J146" s="290"/>
      <c r="K146" s="253">
        <f t="shared" si="67"/>
        <v>1489658.12</v>
      </c>
      <c r="L146" s="253"/>
      <c r="M146" s="253"/>
      <c r="N146" s="253"/>
      <c r="O146" s="253">
        <f t="shared" si="65"/>
        <v>1489658.12</v>
      </c>
      <c r="P146" s="704"/>
    </row>
    <row r="147" spans="1:16" s="291" customFormat="1" ht="25.5" outlineLevel="2" x14ac:dyDescent="0.2">
      <c r="A147" s="246" t="s">
        <v>816</v>
      </c>
      <c r="B147" s="247"/>
      <c r="C147" s="247" t="s">
        <v>467</v>
      </c>
      <c r="D147" s="248">
        <f>2598.93-0.01</f>
        <v>2598.92</v>
      </c>
      <c r="E147" s="248"/>
      <c r="F147" s="248"/>
      <c r="G147" s="249"/>
      <c r="H147" s="250">
        <f t="shared" si="66"/>
        <v>2598.92</v>
      </c>
      <c r="I147" s="251"/>
      <c r="J147" s="290"/>
      <c r="K147" s="253">
        <f t="shared" si="67"/>
        <v>21678158.280000001</v>
      </c>
      <c r="L147" s="253"/>
      <c r="M147" s="253"/>
      <c r="N147" s="253"/>
      <c r="O147" s="253">
        <f t="shared" si="65"/>
        <v>21678158.280000001</v>
      </c>
      <c r="P147" s="704"/>
    </row>
    <row r="148" spans="1:16" s="291" customFormat="1" ht="25.5" outlineLevel="2" x14ac:dyDescent="0.2">
      <c r="A148" s="246" t="s">
        <v>817</v>
      </c>
      <c r="B148" s="247"/>
      <c r="C148" s="247" t="s">
        <v>468</v>
      </c>
      <c r="D148" s="248">
        <v>37.840000000000003</v>
      </c>
      <c r="E148" s="248"/>
      <c r="F148" s="248"/>
      <c r="G148" s="249"/>
      <c r="H148" s="250">
        <f t="shared" si="66"/>
        <v>37.840000000000003</v>
      </c>
      <c r="I148" s="251"/>
      <c r="J148" s="290"/>
      <c r="K148" s="253">
        <f t="shared" si="67"/>
        <v>315631.69</v>
      </c>
      <c r="L148" s="253"/>
      <c r="M148" s="253"/>
      <c r="N148" s="253"/>
      <c r="O148" s="253">
        <f t="shared" si="65"/>
        <v>315631.69</v>
      </c>
      <c r="P148" s="704"/>
    </row>
    <row r="149" spans="1:16" s="291" customFormat="1" outlineLevel="2" x14ac:dyDescent="0.2">
      <c r="A149" s="246" t="s">
        <v>818</v>
      </c>
      <c r="B149" s="247"/>
      <c r="C149" s="247" t="s">
        <v>469</v>
      </c>
      <c r="D149" s="248">
        <v>163.30000000000001</v>
      </c>
      <c r="E149" s="248"/>
      <c r="F149" s="248"/>
      <c r="G149" s="249"/>
      <c r="H149" s="250">
        <f t="shared" si="66"/>
        <v>163.30000000000001</v>
      </c>
      <c r="I149" s="251"/>
      <c r="J149" s="290"/>
      <c r="K149" s="253">
        <f t="shared" si="67"/>
        <v>1362120.9</v>
      </c>
      <c r="L149" s="253"/>
      <c r="M149" s="253"/>
      <c r="N149" s="253"/>
      <c r="O149" s="253">
        <f t="shared" si="65"/>
        <v>1362120.9</v>
      </c>
      <c r="P149" s="704"/>
    </row>
    <row r="150" spans="1:16" s="291" customFormat="1" ht="38.25" outlineLevel="2" x14ac:dyDescent="0.2">
      <c r="A150" s="246" t="s">
        <v>819</v>
      </c>
      <c r="B150" s="247" t="s">
        <v>334</v>
      </c>
      <c r="C150" s="247" t="s">
        <v>491</v>
      </c>
      <c r="D150" s="248">
        <f>482.31-0.01</f>
        <v>482.3</v>
      </c>
      <c r="E150" s="248"/>
      <c r="F150" s="248"/>
      <c r="G150" s="249"/>
      <c r="H150" s="250">
        <f t="shared" si="66"/>
        <v>482.3</v>
      </c>
      <c r="I150" s="251"/>
      <c r="J150" s="290"/>
      <c r="K150" s="253">
        <f>((D150)*1.023*1.01-(D150)*0.023*0.15)*8.1*1000</f>
        <v>4022969.44</v>
      </c>
      <c r="L150" s="253"/>
      <c r="M150" s="253"/>
      <c r="N150" s="253"/>
      <c r="O150" s="253">
        <f t="shared" si="65"/>
        <v>4022969.44</v>
      </c>
    </row>
    <row r="151" spans="1:16" s="231" customFormat="1" ht="20.25" customHeight="1" outlineLevel="1" x14ac:dyDescent="0.2">
      <c r="A151" s="284" t="s">
        <v>461</v>
      </c>
      <c r="B151" s="285" t="s">
        <v>321</v>
      </c>
      <c r="C151" s="285" t="s">
        <v>322</v>
      </c>
      <c r="D151" s="286">
        <f>SUM(D152:D154)</f>
        <v>1316.72</v>
      </c>
      <c r="E151" s="286"/>
      <c r="F151" s="286"/>
      <c r="G151" s="287"/>
      <c r="H151" s="288">
        <f t="shared" si="66"/>
        <v>1316.72</v>
      </c>
      <c r="I151" s="289"/>
      <c r="J151" s="230"/>
      <c r="K151" s="242">
        <f>SUM(K152:K154)</f>
        <v>10983048.57</v>
      </c>
      <c r="L151" s="242"/>
      <c r="M151" s="242"/>
      <c r="N151" s="242"/>
      <c r="O151" s="242">
        <f t="shared" si="65"/>
        <v>10983048.57</v>
      </c>
    </row>
    <row r="152" spans="1:16" s="255" customFormat="1" ht="20.25" customHeight="1" outlineLevel="2" x14ac:dyDescent="0.2">
      <c r="A152" s="246" t="s">
        <v>820</v>
      </c>
      <c r="B152" s="247"/>
      <c r="C152" s="247" t="s">
        <v>374</v>
      </c>
      <c r="D152" s="248">
        <v>380.62</v>
      </c>
      <c r="E152" s="248"/>
      <c r="F152" s="248"/>
      <c r="G152" s="249"/>
      <c r="H152" s="250">
        <f t="shared" si="66"/>
        <v>380.62</v>
      </c>
      <c r="I152" s="251"/>
      <c r="J152" s="252"/>
      <c r="K152" s="253">
        <f>((D152)*1.023*1.01-(D152)*0.023*0.15)*8.1*1000</f>
        <v>3174834.4</v>
      </c>
      <c r="L152" s="253"/>
      <c r="M152" s="253"/>
      <c r="N152" s="253"/>
      <c r="O152" s="253">
        <f t="shared" si="65"/>
        <v>3174834.4</v>
      </c>
    </row>
    <row r="153" spans="1:16" s="255" customFormat="1" ht="20.25" customHeight="1" outlineLevel="2" x14ac:dyDescent="0.2">
      <c r="A153" s="246" t="s">
        <v>821</v>
      </c>
      <c r="B153" s="247"/>
      <c r="C153" s="247" t="s">
        <v>475</v>
      </c>
      <c r="D153" s="248">
        <v>909.12</v>
      </c>
      <c r="E153" s="248"/>
      <c r="F153" s="248"/>
      <c r="G153" s="249"/>
      <c r="H153" s="250">
        <f t="shared" si="66"/>
        <v>909.12</v>
      </c>
      <c r="I153" s="251"/>
      <c r="J153" s="252"/>
      <c r="K153" s="253">
        <f>((D153)*1.023*1.01-(D153)*0.023*0.15)*8.1*1000</f>
        <v>7583168.1100000003</v>
      </c>
      <c r="L153" s="253"/>
      <c r="M153" s="253"/>
      <c r="N153" s="253"/>
      <c r="O153" s="253">
        <f t="shared" si="65"/>
        <v>7583168.1100000003</v>
      </c>
    </row>
    <row r="154" spans="1:16" s="255" customFormat="1" ht="38.25" outlineLevel="2" x14ac:dyDescent="0.2">
      <c r="A154" s="246" t="s">
        <v>822</v>
      </c>
      <c r="B154" s="247" t="s">
        <v>334</v>
      </c>
      <c r="C154" s="247" t="s">
        <v>493</v>
      </c>
      <c r="D154" s="248">
        <v>26.98</v>
      </c>
      <c r="E154" s="248"/>
      <c r="F154" s="248"/>
      <c r="G154" s="249"/>
      <c r="H154" s="250">
        <f t="shared" si="66"/>
        <v>26.98</v>
      </c>
      <c r="I154" s="251"/>
      <c r="J154" s="252"/>
      <c r="K154" s="253">
        <f>((D154)*1.023*1.01-(D154)*0.023*0.15)*8.1*1000</f>
        <v>225046.06</v>
      </c>
      <c r="L154" s="253"/>
      <c r="M154" s="253"/>
      <c r="N154" s="253"/>
      <c r="O154" s="253">
        <f t="shared" si="65"/>
        <v>225046.06</v>
      </c>
    </row>
    <row r="155" spans="1:16" s="231" customFormat="1" ht="25.5" outlineLevel="1" x14ac:dyDescent="0.2">
      <c r="A155" s="284" t="s">
        <v>462</v>
      </c>
      <c r="B155" s="285"/>
      <c r="C155" s="285" t="s">
        <v>806</v>
      </c>
      <c r="D155" s="286">
        <f>SUM(D156:D157)</f>
        <v>85.89</v>
      </c>
      <c r="E155" s="286"/>
      <c r="F155" s="286"/>
      <c r="G155" s="287"/>
      <c r="H155" s="288">
        <f t="shared" si="66"/>
        <v>85.89</v>
      </c>
      <c r="I155" s="289"/>
      <c r="J155" s="230"/>
      <c r="K155" s="286">
        <f>SUM(K156:K157)</f>
        <v>716427.22</v>
      </c>
      <c r="L155" s="242"/>
      <c r="M155" s="242"/>
      <c r="N155" s="242"/>
      <c r="O155" s="242">
        <f t="shared" ref="O155:O161" si="68">SUM(K155:N155)</f>
        <v>716427.22</v>
      </c>
      <c r="P155" s="256"/>
    </row>
    <row r="156" spans="1:16" s="291" customFormat="1" ht="25.5" outlineLevel="2" x14ac:dyDescent="0.2">
      <c r="A156" s="246" t="s">
        <v>858</v>
      </c>
      <c r="B156" s="247" t="s">
        <v>329</v>
      </c>
      <c r="C156" s="247" t="s">
        <v>806</v>
      </c>
      <c r="D156" s="248">
        <f>1424.21*'Противоэроз защита'!B25/'Противоэроз защита'!$B$24</f>
        <v>85.85</v>
      </c>
      <c r="E156" s="248"/>
      <c r="F156" s="248"/>
      <c r="G156" s="249"/>
      <c r="H156" s="250">
        <f t="shared" si="66"/>
        <v>85.85</v>
      </c>
      <c r="I156" s="251"/>
      <c r="J156" s="290"/>
      <c r="K156" s="253">
        <f>((D156)*1.023*1.01-(D156)*0.023*0.15)*8.1*1000</f>
        <v>716093.57</v>
      </c>
      <c r="L156" s="253"/>
      <c r="M156" s="253"/>
      <c r="N156" s="253"/>
      <c r="O156" s="253">
        <f t="shared" si="68"/>
        <v>716093.57</v>
      </c>
      <c r="P156" s="292"/>
    </row>
    <row r="157" spans="1:16" s="291" customFormat="1" ht="38.25" outlineLevel="2" x14ac:dyDescent="0.2">
      <c r="A157" s="246" t="s">
        <v>859</v>
      </c>
      <c r="B157" s="247" t="s">
        <v>334</v>
      </c>
      <c r="C157" s="247" t="s">
        <v>497</v>
      </c>
      <c r="D157" s="248">
        <f>0.68*'Противоэроз защита'!B25/'Противоэроз защита'!$B$24</f>
        <v>0.04</v>
      </c>
      <c r="E157" s="248"/>
      <c r="F157" s="248"/>
      <c r="G157" s="249"/>
      <c r="H157" s="250">
        <f t="shared" ref="H157:H165" si="69">SUM(D157:G157)</f>
        <v>0.04</v>
      </c>
      <c r="I157" s="251"/>
      <c r="J157" s="290"/>
      <c r="K157" s="253">
        <f t="shared" ref="K157" si="70">((D157)*1.023*1.01-(D157)*0.023*0.15)*8.1*1000</f>
        <v>333.65</v>
      </c>
      <c r="L157" s="253"/>
      <c r="M157" s="253"/>
      <c r="N157" s="253"/>
      <c r="O157" s="253">
        <f>SUM(K157:N157)</f>
        <v>333.65</v>
      </c>
    </row>
    <row r="158" spans="1:16" s="231" customFormat="1" ht="25.5" outlineLevel="1" x14ac:dyDescent="0.2">
      <c r="A158" s="284" t="s">
        <v>463</v>
      </c>
      <c r="B158" s="285"/>
      <c r="C158" s="285" t="s">
        <v>807</v>
      </c>
      <c r="D158" s="286">
        <f>SUM(D159:D160)</f>
        <v>173.03</v>
      </c>
      <c r="E158" s="286"/>
      <c r="F158" s="286"/>
      <c r="G158" s="287"/>
      <c r="H158" s="288">
        <f t="shared" si="69"/>
        <v>173.03</v>
      </c>
      <c r="I158" s="289"/>
      <c r="J158" s="230"/>
      <c r="K158" s="286">
        <f>SUM(K159:K160)</f>
        <v>1443280.95</v>
      </c>
      <c r="L158" s="242"/>
      <c r="M158" s="242"/>
      <c r="N158" s="242"/>
      <c r="O158" s="242">
        <f t="shared" si="68"/>
        <v>1443280.95</v>
      </c>
      <c r="P158" s="256"/>
    </row>
    <row r="159" spans="1:16" s="291" customFormat="1" ht="25.5" outlineLevel="2" x14ac:dyDescent="0.2">
      <c r="A159" s="246" t="s">
        <v>863</v>
      </c>
      <c r="B159" s="247" t="s">
        <v>329</v>
      </c>
      <c r="C159" s="247" t="s">
        <v>807</v>
      </c>
      <c r="D159" s="248">
        <f>1424.21*'Противоэроз защита'!B26/'Противоэроз защита'!$B$24</f>
        <v>172.95</v>
      </c>
      <c r="E159" s="248"/>
      <c r="F159" s="248"/>
      <c r="G159" s="249"/>
      <c r="H159" s="250">
        <f t="shared" si="69"/>
        <v>172.95</v>
      </c>
      <c r="I159" s="251"/>
      <c r="J159" s="290"/>
      <c r="K159" s="253">
        <f>((D159)*1.023*1.01-(D159)*0.023*0.15)*8.1*1000</f>
        <v>1442613.65</v>
      </c>
      <c r="L159" s="253"/>
      <c r="M159" s="253"/>
      <c r="N159" s="253"/>
      <c r="O159" s="253">
        <f>SUM(K159:N159)</f>
        <v>1442613.65</v>
      </c>
      <c r="P159" s="292"/>
    </row>
    <row r="160" spans="1:16" s="291" customFormat="1" ht="38.25" outlineLevel="2" x14ac:dyDescent="0.2">
      <c r="A160" s="246" t="s">
        <v>864</v>
      </c>
      <c r="B160" s="247" t="s">
        <v>334</v>
      </c>
      <c r="C160" s="247" t="s">
        <v>497</v>
      </c>
      <c r="D160" s="248">
        <f>0.68*'Противоэроз защита'!B26/'Противоэроз защита'!$B$24</f>
        <v>0.08</v>
      </c>
      <c r="E160" s="248"/>
      <c r="F160" s="248"/>
      <c r="G160" s="249"/>
      <c r="H160" s="250">
        <f t="shared" si="69"/>
        <v>0.08</v>
      </c>
      <c r="I160" s="251"/>
      <c r="J160" s="290"/>
      <c r="K160" s="253">
        <f t="shared" ref="K160" si="71">((D160)*1.023*1.01-(D160)*0.023*0.15)*8.1*1000</f>
        <v>667.3</v>
      </c>
      <c r="L160" s="253"/>
      <c r="M160" s="253"/>
      <c r="N160" s="253"/>
      <c r="O160" s="253">
        <f>SUM(K160:N160)</f>
        <v>667.3</v>
      </c>
    </row>
    <row r="161" spans="1:16" s="231" customFormat="1" ht="25.5" outlineLevel="1" x14ac:dyDescent="0.2">
      <c r="A161" s="284" t="s">
        <v>464</v>
      </c>
      <c r="B161" s="285"/>
      <c r="C161" s="285" t="s">
        <v>808</v>
      </c>
      <c r="D161" s="286">
        <f>SUM(D162:D163)</f>
        <v>102.3</v>
      </c>
      <c r="E161" s="286"/>
      <c r="F161" s="286"/>
      <c r="G161" s="287"/>
      <c r="H161" s="288">
        <f t="shared" si="69"/>
        <v>102.3</v>
      </c>
      <c r="I161" s="289"/>
      <c r="J161" s="230"/>
      <c r="K161" s="242">
        <f>SUM(K162:K163)</f>
        <v>853306.6</v>
      </c>
      <c r="L161" s="242"/>
      <c r="M161" s="242"/>
      <c r="N161" s="242"/>
      <c r="O161" s="242">
        <f t="shared" si="68"/>
        <v>853306.6</v>
      </c>
      <c r="P161" s="256"/>
    </row>
    <row r="162" spans="1:16" s="255" customFormat="1" ht="25.5" outlineLevel="2" x14ac:dyDescent="0.2">
      <c r="A162" s="246" t="s">
        <v>865</v>
      </c>
      <c r="B162" s="247" t="s">
        <v>329</v>
      </c>
      <c r="C162" s="247" t="s">
        <v>808</v>
      </c>
      <c r="D162" s="248">
        <f>1424.21*'Противоэроз защита'!B27/'Противоэроз защита'!$B$24</f>
        <v>102.25</v>
      </c>
      <c r="E162" s="248"/>
      <c r="F162" s="248"/>
      <c r="G162" s="249"/>
      <c r="H162" s="250">
        <f t="shared" si="69"/>
        <v>102.25</v>
      </c>
      <c r="I162" s="251"/>
      <c r="J162" s="252"/>
      <c r="K162" s="253">
        <f>((D162)*1.023*1.01-(D162)*0.023*0.15)*8.1*1000</f>
        <v>852889.54</v>
      </c>
      <c r="L162" s="253"/>
      <c r="M162" s="253"/>
      <c r="N162" s="253"/>
      <c r="O162" s="253">
        <f t="shared" ref="O162:O206" si="72">SUM(K162:N162)</f>
        <v>852889.54</v>
      </c>
      <c r="P162" s="254"/>
    </row>
    <row r="163" spans="1:16" s="255" customFormat="1" ht="38.25" outlineLevel="2" x14ac:dyDescent="0.2">
      <c r="A163" s="246" t="s">
        <v>866</v>
      </c>
      <c r="B163" s="247" t="s">
        <v>334</v>
      </c>
      <c r="C163" s="247" t="s">
        <v>497</v>
      </c>
      <c r="D163" s="248">
        <f>0.68*'Противоэроз защита'!B27/'Противоэроз защита'!$B$24</f>
        <v>0.05</v>
      </c>
      <c r="E163" s="248"/>
      <c r="F163" s="248"/>
      <c r="G163" s="249"/>
      <c r="H163" s="250">
        <f t="shared" si="69"/>
        <v>0.05</v>
      </c>
      <c r="I163" s="251"/>
      <c r="J163" s="252"/>
      <c r="K163" s="253">
        <f t="shared" ref="K163" si="73">((D163)*1.023*1.01-(D163)*0.023*0.15)*8.1*1000</f>
        <v>417.06</v>
      </c>
      <c r="L163" s="253"/>
      <c r="M163" s="253"/>
      <c r="N163" s="253"/>
      <c r="O163" s="253">
        <f t="shared" si="72"/>
        <v>417.06</v>
      </c>
    </row>
    <row r="164" spans="1:16" s="241" customFormat="1" x14ac:dyDescent="0.2">
      <c r="A164" s="245" t="s">
        <v>339</v>
      </c>
      <c r="B164" s="235"/>
      <c r="C164" s="235" t="s">
        <v>856</v>
      </c>
      <c r="D164" s="237">
        <f>D165+D169+D173+D177+D188</f>
        <v>41508.639999999999</v>
      </c>
      <c r="E164" s="243"/>
      <c r="F164" s="243"/>
      <c r="G164" s="243"/>
      <c r="H164" s="244">
        <f t="shared" si="69"/>
        <v>41508.639999999999</v>
      </c>
      <c r="I164" s="238"/>
      <c r="J164" s="239"/>
      <c r="K164" s="240">
        <f>K165+K169+K173+K177+K188</f>
        <v>346232615.12</v>
      </c>
      <c r="L164" s="240"/>
      <c r="M164" s="240"/>
      <c r="N164" s="240"/>
      <c r="O164" s="244">
        <f t="shared" si="72"/>
        <v>346232615.12</v>
      </c>
    </row>
    <row r="165" spans="1:16" s="231" customFormat="1" ht="20.25" customHeight="1" outlineLevel="1" x14ac:dyDescent="0.2">
      <c r="A165" s="284" t="s">
        <v>470</v>
      </c>
      <c r="B165" s="285" t="s">
        <v>319</v>
      </c>
      <c r="C165" s="285" t="s">
        <v>320</v>
      </c>
      <c r="D165" s="286">
        <f>SUM(D166:D168)</f>
        <v>836.53</v>
      </c>
      <c r="E165" s="286"/>
      <c r="F165" s="286"/>
      <c r="G165" s="287"/>
      <c r="H165" s="288">
        <f t="shared" si="69"/>
        <v>836.53</v>
      </c>
      <c r="I165" s="289"/>
      <c r="J165" s="230"/>
      <c r="K165" s="242">
        <f>SUM(K166:K168)</f>
        <v>6977679.0899999999</v>
      </c>
      <c r="L165" s="242"/>
      <c r="M165" s="242"/>
      <c r="N165" s="242"/>
      <c r="O165" s="242">
        <f t="shared" si="72"/>
        <v>6977679.0899999999</v>
      </c>
      <c r="P165" s="705" t="s">
        <v>760</v>
      </c>
    </row>
    <row r="166" spans="1:16" s="291" customFormat="1" ht="21" customHeight="1" outlineLevel="2" x14ac:dyDescent="0.2">
      <c r="A166" s="246" t="s">
        <v>823</v>
      </c>
      <c r="B166" s="247"/>
      <c r="C166" s="247" t="s">
        <v>374</v>
      </c>
      <c r="D166" s="248">
        <v>66.02</v>
      </c>
      <c r="E166" s="248"/>
      <c r="F166" s="248"/>
      <c r="G166" s="249"/>
      <c r="H166" s="250"/>
      <c r="I166" s="251"/>
      <c r="J166" s="290"/>
      <c r="K166" s="253">
        <f>((D166)*1.023*1.01-(D166)*0.023*0.15)*8.1*1000</f>
        <v>550687.21</v>
      </c>
      <c r="L166" s="253"/>
      <c r="M166" s="253"/>
      <c r="N166" s="253"/>
      <c r="O166" s="253">
        <f t="shared" si="72"/>
        <v>550687.21</v>
      </c>
      <c r="P166" s="705"/>
    </row>
    <row r="167" spans="1:16" s="291" customFormat="1" ht="25.5" outlineLevel="2" x14ac:dyDescent="0.2">
      <c r="A167" s="246" t="s">
        <v>824</v>
      </c>
      <c r="B167" s="247"/>
      <c r="C167" s="247" t="s">
        <v>472</v>
      </c>
      <c r="D167" s="248">
        <v>770.03</v>
      </c>
      <c r="E167" s="248"/>
      <c r="F167" s="248"/>
      <c r="G167" s="249"/>
      <c r="H167" s="250"/>
      <c r="I167" s="251"/>
      <c r="J167" s="290"/>
      <c r="K167" s="253">
        <f>((D167)*1.023*1.01-(D167)*0.023*0.15)*8.1*1000</f>
        <v>6422988.0999999996</v>
      </c>
      <c r="L167" s="253"/>
      <c r="M167" s="253"/>
      <c r="N167" s="253"/>
      <c r="O167" s="253">
        <f t="shared" si="72"/>
        <v>6422988.0999999996</v>
      </c>
      <c r="P167" s="705"/>
    </row>
    <row r="168" spans="1:16" s="291" customFormat="1" ht="38.25" outlineLevel="2" x14ac:dyDescent="0.2">
      <c r="A168" s="246" t="s">
        <v>825</v>
      </c>
      <c r="B168" s="247" t="s">
        <v>334</v>
      </c>
      <c r="C168" s="247" t="s">
        <v>492</v>
      </c>
      <c r="D168" s="248">
        <v>0.48</v>
      </c>
      <c r="E168" s="248"/>
      <c r="F168" s="248"/>
      <c r="G168" s="249"/>
      <c r="H168" s="250">
        <f t="shared" ref="H168:H177" si="74">SUM(D168:G168)</f>
        <v>0.48</v>
      </c>
      <c r="I168" s="251"/>
      <c r="J168" s="290"/>
      <c r="K168" s="253">
        <f>((D168)*1.023*1.01-(D168)*0.023*0.15)*8.1*1000</f>
        <v>4003.78</v>
      </c>
      <c r="L168" s="253"/>
      <c r="M168" s="253"/>
      <c r="N168" s="253"/>
      <c r="O168" s="253">
        <f t="shared" si="72"/>
        <v>4003.78</v>
      </c>
    </row>
    <row r="169" spans="1:16" s="231" customFormat="1" ht="15.75" customHeight="1" outlineLevel="1" x14ac:dyDescent="0.2">
      <c r="A169" s="284" t="s">
        <v>471</v>
      </c>
      <c r="B169" s="285" t="s">
        <v>323</v>
      </c>
      <c r="C169" s="285" t="s">
        <v>324</v>
      </c>
      <c r="D169" s="286">
        <f>SUM(D170:D172)</f>
        <v>55.36</v>
      </c>
      <c r="E169" s="286"/>
      <c r="F169" s="286"/>
      <c r="G169" s="287"/>
      <c r="H169" s="288">
        <f t="shared" si="74"/>
        <v>55.36</v>
      </c>
      <c r="I169" s="289"/>
      <c r="J169" s="230"/>
      <c r="K169" s="242">
        <f>SUM(K170:K172)</f>
        <v>461769.82</v>
      </c>
      <c r="L169" s="242"/>
      <c r="M169" s="242"/>
      <c r="N169" s="242"/>
      <c r="O169" s="242">
        <f t="shared" si="72"/>
        <v>461769.82</v>
      </c>
    </row>
    <row r="170" spans="1:16" s="291" customFormat="1" outlineLevel="2" x14ac:dyDescent="0.2">
      <c r="A170" s="246" t="s">
        <v>826</v>
      </c>
      <c r="B170" s="247"/>
      <c r="C170" s="247" t="s">
        <v>374</v>
      </c>
      <c r="D170" s="248">
        <f>18.37-0.01</f>
        <v>18.36</v>
      </c>
      <c r="E170" s="248"/>
      <c r="F170" s="248"/>
      <c r="G170" s="249"/>
      <c r="H170" s="250">
        <f t="shared" si="74"/>
        <v>18.36</v>
      </c>
      <c r="I170" s="251"/>
      <c r="J170" s="290"/>
      <c r="K170" s="253">
        <f>((D170)*1.023*1.01-(D170)*0.023*0.15)*8.1*1000</f>
        <v>153144.76</v>
      </c>
      <c r="L170" s="253"/>
      <c r="M170" s="253"/>
      <c r="N170" s="253"/>
      <c r="O170" s="253">
        <f t="shared" si="72"/>
        <v>153144.76</v>
      </c>
    </row>
    <row r="171" spans="1:16" s="291" customFormat="1" outlineLevel="2" x14ac:dyDescent="0.2">
      <c r="A171" s="246" t="s">
        <v>827</v>
      </c>
      <c r="B171" s="247"/>
      <c r="C171" s="247" t="s">
        <v>476</v>
      </c>
      <c r="D171" s="248">
        <v>35.700000000000003</v>
      </c>
      <c r="E171" s="248"/>
      <c r="F171" s="248"/>
      <c r="G171" s="249"/>
      <c r="H171" s="250">
        <f t="shared" si="74"/>
        <v>35.700000000000003</v>
      </c>
      <c r="I171" s="251"/>
      <c r="J171" s="290"/>
      <c r="K171" s="253">
        <f>((D171)*1.023*1.01-(D171)*0.023*0.15)*8.1*1000</f>
        <v>297781.48</v>
      </c>
      <c r="L171" s="253"/>
      <c r="M171" s="253"/>
      <c r="N171" s="253"/>
      <c r="O171" s="253">
        <f t="shared" si="72"/>
        <v>297781.48</v>
      </c>
    </row>
    <row r="172" spans="1:16" s="291" customFormat="1" ht="38.25" outlineLevel="2" x14ac:dyDescent="0.2">
      <c r="A172" s="246" t="s">
        <v>828</v>
      </c>
      <c r="B172" s="247" t="s">
        <v>334</v>
      </c>
      <c r="C172" s="247" t="s">
        <v>494</v>
      </c>
      <c r="D172" s="248">
        <v>1.3</v>
      </c>
      <c r="E172" s="248"/>
      <c r="F172" s="248"/>
      <c r="G172" s="249"/>
      <c r="H172" s="250">
        <f t="shared" si="74"/>
        <v>1.3</v>
      </c>
      <c r="I172" s="251"/>
      <c r="J172" s="290"/>
      <c r="K172" s="253">
        <f>((D172)*1.023*1.01-(D172)*0.023*0.15)*8.1*1000</f>
        <v>10843.58</v>
      </c>
      <c r="L172" s="253"/>
      <c r="M172" s="253"/>
      <c r="N172" s="253"/>
      <c r="O172" s="253">
        <f t="shared" si="72"/>
        <v>10843.58</v>
      </c>
    </row>
    <row r="173" spans="1:16" s="231" customFormat="1" outlineLevel="1" x14ac:dyDescent="0.2">
      <c r="A173" s="284" t="s">
        <v>829</v>
      </c>
      <c r="B173" s="285" t="s">
        <v>325</v>
      </c>
      <c r="C173" s="285" t="s">
        <v>326</v>
      </c>
      <c r="D173" s="286">
        <f>SUM(D174:D176)</f>
        <v>3339.39</v>
      </c>
      <c r="E173" s="286"/>
      <c r="F173" s="286"/>
      <c r="G173" s="287"/>
      <c r="H173" s="288">
        <f t="shared" si="74"/>
        <v>3339.39</v>
      </c>
      <c r="I173" s="289"/>
      <c r="J173" s="230"/>
      <c r="K173" s="242">
        <f>SUM(K174:K176)</f>
        <v>27854579.98</v>
      </c>
      <c r="L173" s="242"/>
      <c r="M173" s="242"/>
      <c r="N173" s="242"/>
      <c r="O173" s="242">
        <f t="shared" si="72"/>
        <v>27854579.98</v>
      </c>
      <c r="P173" s="705" t="s">
        <v>760</v>
      </c>
    </row>
    <row r="174" spans="1:16" s="255" customFormat="1" ht="25.5" outlineLevel="2" x14ac:dyDescent="0.2">
      <c r="A174" s="246" t="s">
        <v>830</v>
      </c>
      <c r="B174" s="247"/>
      <c r="C174" s="247" t="s">
        <v>477</v>
      </c>
      <c r="D174" s="248">
        <v>1390.21</v>
      </c>
      <c r="E174" s="248"/>
      <c r="F174" s="248"/>
      <c r="G174" s="249"/>
      <c r="H174" s="250">
        <f t="shared" si="74"/>
        <v>1390.21</v>
      </c>
      <c r="I174" s="251"/>
      <c r="J174" s="252"/>
      <c r="K174" s="253">
        <f>((D174)*1.023*1.01-(D174)*0.023*0.15)*8.1*1000</f>
        <v>11596044.68</v>
      </c>
      <c r="L174" s="253"/>
      <c r="M174" s="253"/>
      <c r="N174" s="253"/>
      <c r="O174" s="253">
        <f t="shared" si="72"/>
        <v>11596044.68</v>
      </c>
      <c r="P174" s="705"/>
    </row>
    <row r="175" spans="1:16" s="255" customFormat="1" ht="29.25" customHeight="1" outlineLevel="2" x14ac:dyDescent="0.2">
      <c r="A175" s="246" t="s">
        <v>831</v>
      </c>
      <c r="B175" s="247"/>
      <c r="C175" s="247" t="s">
        <v>478</v>
      </c>
      <c r="D175" s="248">
        <f>1772.44+0.01</f>
        <v>1772.45</v>
      </c>
      <c r="E175" s="248"/>
      <c r="F175" s="248"/>
      <c r="G175" s="249"/>
      <c r="H175" s="250">
        <f t="shared" si="74"/>
        <v>1772.45</v>
      </c>
      <c r="I175" s="251"/>
      <c r="J175" s="252"/>
      <c r="K175" s="253">
        <f>((D175)*1.023*1.01-(D175)*0.023*0.15)*8.1*1000</f>
        <v>14784391.84</v>
      </c>
      <c r="L175" s="253"/>
      <c r="M175" s="253"/>
      <c r="N175" s="253"/>
      <c r="O175" s="253">
        <f t="shared" si="72"/>
        <v>14784391.84</v>
      </c>
      <c r="P175" s="705"/>
    </row>
    <row r="176" spans="1:16" s="255" customFormat="1" ht="38.25" outlineLevel="2" x14ac:dyDescent="0.2">
      <c r="A176" s="246" t="s">
        <v>832</v>
      </c>
      <c r="B176" s="247"/>
      <c r="C176" s="247" t="s">
        <v>495</v>
      </c>
      <c r="D176" s="248">
        <v>176.73</v>
      </c>
      <c r="E176" s="248"/>
      <c r="F176" s="248"/>
      <c r="G176" s="249"/>
      <c r="H176" s="250">
        <f t="shared" si="74"/>
        <v>176.73</v>
      </c>
      <c r="I176" s="251"/>
      <c r="J176" s="252"/>
      <c r="K176" s="253">
        <f>((D176)*1.023*1.01-(D176)*0.023*0.15)*8.1*1000</f>
        <v>1474143.46</v>
      </c>
      <c r="L176" s="253"/>
      <c r="M176" s="253"/>
      <c r="N176" s="253"/>
      <c r="O176" s="253">
        <f t="shared" si="72"/>
        <v>1474143.46</v>
      </c>
    </row>
    <row r="177" spans="1:16" s="231" customFormat="1" outlineLevel="1" x14ac:dyDescent="0.2">
      <c r="A177" s="284" t="s">
        <v>833</v>
      </c>
      <c r="B177" s="285" t="s">
        <v>327</v>
      </c>
      <c r="C177" s="285" t="s">
        <v>328</v>
      </c>
      <c r="D177" s="286">
        <f>SUM(D178:D187)</f>
        <v>36716.089999999997</v>
      </c>
      <c r="E177" s="286"/>
      <c r="F177" s="286"/>
      <c r="G177" s="287"/>
      <c r="H177" s="288">
        <f t="shared" si="74"/>
        <v>36716.089999999997</v>
      </c>
      <c r="I177" s="289"/>
      <c r="J177" s="230"/>
      <c r="K177" s="242">
        <f>SUM(K178:K187)</f>
        <v>306256910.80000001</v>
      </c>
      <c r="L177" s="242"/>
      <c r="M177" s="242"/>
      <c r="N177" s="242"/>
      <c r="O177" s="242">
        <f t="shared" si="72"/>
        <v>306256910.80000001</v>
      </c>
      <c r="P177" s="705" t="s">
        <v>760</v>
      </c>
    </row>
    <row r="178" spans="1:16" s="255" customFormat="1" outlineLevel="2" x14ac:dyDescent="0.2">
      <c r="A178" s="246" t="s">
        <v>834</v>
      </c>
      <c r="B178" s="247"/>
      <c r="C178" s="247" t="s">
        <v>479</v>
      </c>
      <c r="D178" s="248">
        <f>6265.51-0.01</f>
        <v>6265.5</v>
      </c>
      <c r="E178" s="248"/>
      <c r="F178" s="248"/>
      <c r="G178" s="249"/>
      <c r="H178" s="250">
        <f t="shared" ref="H178:H186" si="75">SUM(D178:G178)</f>
        <v>6265.5</v>
      </c>
      <c r="I178" s="251"/>
      <c r="J178" s="252"/>
      <c r="K178" s="253">
        <f t="shared" ref="K178:K186" si="76">((D178)*1.023*1.01-(D178)*0.023*0.15)*8.1*1000</f>
        <v>52261901.380000003</v>
      </c>
      <c r="L178" s="253"/>
      <c r="M178" s="253"/>
      <c r="N178" s="253"/>
      <c r="O178" s="253">
        <f t="shared" si="72"/>
        <v>52261901.380000003</v>
      </c>
      <c r="P178" s="705"/>
    </row>
    <row r="179" spans="1:16" s="255" customFormat="1" outlineLevel="2" x14ac:dyDescent="0.2">
      <c r="A179" s="246" t="s">
        <v>835</v>
      </c>
      <c r="B179" s="247"/>
      <c r="C179" s="247" t="s">
        <v>480</v>
      </c>
      <c r="D179" s="248">
        <v>3929.94</v>
      </c>
      <c r="E179" s="248"/>
      <c r="F179" s="248"/>
      <c r="G179" s="249"/>
      <c r="H179" s="250">
        <f t="shared" si="75"/>
        <v>3929.94</v>
      </c>
      <c r="I179" s="251"/>
      <c r="J179" s="252"/>
      <c r="K179" s="253">
        <f t="shared" si="76"/>
        <v>32780486.27</v>
      </c>
      <c r="L179" s="253"/>
      <c r="M179" s="253"/>
      <c r="N179" s="253"/>
      <c r="O179" s="253">
        <f t="shared" si="72"/>
        <v>32780486.27</v>
      </c>
      <c r="P179" s="705"/>
    </row>
    <row r="180" spans="1:16" s="255" customFormat="1" outlineLevel="2" x14ac:dyDescent="0.2">
      <c r="A180" s="246" t="s">
        <v>836</v>
      </c>
      <c r="B180" s="247"/>
      <c r="C180" s="247" t="s">
        <v>485</v>
      </c>
      <c r="D180" s="248">
        <v>2404.4899999999998</v>
      </c>
      <c r="E180" s="248"/>
      <c r="F180" s="248"/>
      <c r="G180" s="249"/>
      <c r="H180" s="250">
        <f t="shared" si="75"/>
        <v>2404.4899999999998</v>
      </c>
      <c r="I180" s="251"/>
      <c r="J180" s="252"/>
      <c r="K180" s="253">
        <f t="shared" si="76"/>
        <v>20056375.27</v>
      </c>
      <c r="L180" s="253"/>
      <c r="M180" s="253"/>
      <c r="N180" s="253"/>
      <c r="O180" s="253">
        <f t="shared" si="72"/>
        <v>20056375.27</v>
      </c>
      <c r="P180" s="705"/>
    </row>
    <row r="181" spans="1:16" s="255" customFormat="1" outlineLevel="2" x14ac:dyDescent="0.2">
      <c r="A181" s="246" t="s">
        <v>837</v>
      </c>
      <c r="B181" s="247"/>
      <c r="C181" s="247" t="s">
        <v>486</v>
      </c>
      <c r="D181" s="248">
        <v>2744.49</v>
      </c>
      <c r="E181" s="248"/>
      <c r="F181" s="248"/>
      <c r="G181" s="249"/>
      <c r="H181" s="250">
        <f t="shared" si="75"/>
        <v>2744.49</v>
      </c>
      <c r="I181" s="251"/>
      <c r="J181" s="252"/>
      <c r="K181" s="253">
        <f t="shared" si="76"/>
        <v>22892389.390000001</v>
      </c>
      <c r="L181" s="253"/>
      <c r="M181" s="253"/>
      <c r="N181" s="253"/>
      <c r="O181" s="253">
        <f t="shared" si="72"/>
        <v>22892389.390000001</v>
      </c>
      <c r="P181" s="705"/>
    </row>
    <row r="182" spans="1:16" s="255" customFormat="1" outlineLevel="2" x14ac:dyDescent="0.2">
      <c r="A182" s="246" t="s">
        <v>838</v>
      </c>
      <c r="B182" s="247"/>
      <c r="C182" s="247" t="s">
        <v>484</v>
      </c>
      <c r="D182" s="248">
        <f>4741.33-0.01</f>
        <v>4741.32</v>
      </c>
      <c r="E182" s="248"/>
      <c r="F182" s="248"/>
      <c r="G182" s="249"/>
      <c r="H182" s="250">
        <f t="shared" si="75"/>
        <v>4741.32</v>
      </c>
      <c r="I182" s="251"/>
      <c r="J182" s="252"/>
      <c r="K182" s="253">
        <f t="shared" si="76"/>
        <v>39548383.729999997</v>
      </c>
      <c r="L182" s="253"/>
      <c r="M182" s="253"/>
      <c r="N182" s="253"/>
      <c r="O182" s="253">
        <f t="shared" si="72"/>
        <v>39548383.729999997</v>
      </c>
      <c r="P182" s="705"/>
    </row>
    <row r="183" spans="1:16" s="255" customFormat="1" outlineLevel="2" x14ac:dyDescent="0.2">
      <c r="A183" s="246" t="s">
        <v>839</v>
      </c>
      <c r="B183" s="247"/>
      <c r="C183" s="247" t="s">
        <v>481</v>
      </c>
      <c r="D183" s="248">
        <f>3318.87-0.01</f>
        <v>3318.86</v>
      </c>
      <c r="E183" s="248"/>
      <c r="F183" s="248"/>
      <c r="G183" s="249"/>
      <c r="H183" s="250">
        <f t="shared" si="75"/>
        <v>3318.86</v>
      </c>
      <c r="I183" s="251"/>
      <c r="J183" s="252"/>
      <c r="K183" s="253">
        <f t="shared" si="76"/>
        <v>27683334.77</v>
      </c>
      <c r="L183" s="253"/>
      <c r="M183" s="253"/>
      <c r="N183" s="253"/>
      <c r="O183" s="253">
        <f t="shared" si="72"/>
        <v>27683334.77</v>
      </c>
      <c r="P183" s="705"/>
    </row>
    <row r="184" spans="1:16" s="255" customFormat="1" outlineLevel="2" x14ac:dyDescent="0.2">
      <c r="A184" s="246" t="s">
        <v>840</v>
      </c>
      <c r="B184" s="247"/>
      <c r="C184" s="247" t="s">
        <v>482</v>
      </c>
      <c r="D184" s="248">
        <v>4047.37</v>
      </c>
      <c r="E184" s="248"/>
      <c r="F184" s="248"/>
      <c r="G184" s="249"/>
      <c r="H184" s="250">
        <f t="shared" si="75"/>
        <v>4047.37</v>
      </c>
      <c r="I184" s="251"/>
      <c r="J184" s="252"/>
      <c r="K184" s="253">
        <f t="shared" si="76"/>
        <v>33759995.5</v>
      </c>
      <c r="L184" s="253"/>
      <c r="M184" s="253"/>
      <c r="N184" s="253"/>
      <c r="O184" s="253">
        <f t="shared" si="72"/>
        <v>33759995.5</v>
      </c>
      <c r="P184" s="705"/>
    </row>
    <row r="185" spans="1:16" s="255" customFormat="1" outlineLevel="2" x14ac:dyDescent="0.2">
      <c r="A185" s="246" t="s">
        <v>841</v>
      </c>
      <c r="B185" s="247"/>
      <c r="C185" s="247" t="s">
        <v>483</v>
      </c>
      <c r="D185" s="248">
        <f>4180.53-0.01</f>
        <v>4180.5200000000004</v>
      </c>
      <c r="E185" s="248"/>
      <c r="F185" s="248"/>
      <c r="G185" s="249"/>
      <c r="H185" s="250">
        <f t="shared" si="75"/>
        <v>4180.5200000000004</v>
      </c>
      <c r="I185" s="251"/>
      <c r="J185" s="252"/>
      <c r="K185" s="253">
        <f t="shared" si="76"/>
        <v>34870628.670000002</v>
      </c>
      <c r="L185" s="253"/>
      <c r="M185" s="253"/>
      <c r="N185" s="253"/>
      <c r="O185" s="253">
        <f t="shared" si="72"/>
        <v>34870628.670000002</v>
      </c>
      <c r="P185" s="705"/>
    </row>
    <row r="186" spans="1:16" s="255" customFormat="1" outlineLevel="2" x14ac:dyDescent="0.2">
      <c r="A186" s="246" t="s">
        <v>842</v>
      </c>
      <c r="B186" s="247"/>
      <c r="C186" s="247" t="s">
        <v>487</v>
      </c>
      <c r="D186" s="248">
        <f>4901.71-0.01</f>
        <v>4901.7</v>
      </c>
      <c r="E186" s="248"/>
      <c r="F186" s="248"/>
      <c r="G186" s="249"/>
      <c r="H186" s="250">
        <f t="shared" si="75"/>
        <v>4901.7</v>
      </c>
      <c r="I186" s="251"/>
      <c r="J186" s="252"/>
      <c r="K186" s="253">
        <f t="shared" si="76"/>
        <v>40886148.270000003</v>
      </c>
      <c r="L186" s="253"/>
      <c r="M186" s="253"/>
      <c r="N186" s="253"/>
      <c r="O186" s="253">
        <f t="shared" si="72"/>
        <v>40886148.270000003</v>
      </c>
      <c r="P186" s="705"/>
    </row>
    <row r="187" spans="1:16" s="255" customFormat="1" ht="38.25" outlineLevel="2" x14ac:dyDescent="0.2">
      <c r="A187" s="246" t="s">
        <v>843</v>
      </c>
      <c r="B187" s="247" t="s">
        <v>334</v>
      </c>
      <c r="C187" s="247" t="s">
        <v>496</v>
      </c>
      <c r="D187" s="248">
        <v>181.9</v>
      </c>
      <c r="E187" s="248"/>
      <c r="F187" s="248"/>
      <c r="G187" s="249"/>
      <c r="H187" s="250">
        <f t="shared" ref="H187:H195" si="77">SUM(D187:G187)</f>
        <v>181.9</v>
      </c>
      <c r="I187" s="251"/>
      <c r="J187" s="252"/>
      <c r="K187" s="253">
        <f>((D187)*1.023*1.01-(D187)*0.023*0.15)*8.1*1000</f>
        <v>1517267.55</v>
      </c>
      <c r="L187" s="253"/>
      <c r="M187" s="253"/>
      <c r="N187" s="253"/>
      <c r="O187" s="253">
        <f t="shared" si="72"/>
        <v>1517267.55</v>
      </c>
    </row>
    <row r="188" spans="1:16" s="231" customFormat="1" ht="25.5" outlineLevel="2" x14ac:dyDescent="0.2">
      <c r="A188" s="284" t="s">
        <v>844</v>
      </c>
      <c r="B188" s="285"/>
      <c r="C188" s="285" t="s">
        <v>809</v>
      </c>
      <c r="D188" s="286">
        <f>SUM(D189:D190)</f>
        <v>561.27</v>
      </c>
      <c r="E188" s="286"/>
      <c r="F188" s="286"/>
      <c r="G188" s="287"/>
      <c r="H188" s="288">
        <f t="shared" si="77"/>
        <v>561.27</v>
      </c>
      <c r="I188" s="289"/>
      <c r="J188" s="230"/>
      <c r="K188" s="242">
        <f>SUM(K189:K190)</f>
        <v>4681675.43</v>
      </c>
      <c r="L188" s="242"/>
      <c r="M188" s="242"/>
      <c r="N188" s="242"/>
      <c r="O188" s="242">
        <f t="shared" si="72"/>
        <v>4681675.43</v>
      </c>
      <c r="P188" s="256"/>
    </row>
    <row r="189" spans="1:16" s="255" customFormat="1" ht="25.5" outlineLevel="1" x14ac:dyDescent="0.2">
      <c r="A189" s="246" t="s">
        <v>860</v>
      </c>
      <c r="B189" s="247" t="s">
        <v>329</v>
      </c>
      <c r="C189" s="247" t="s">
        <v>809</v>
      </c>
      <c r="D189" s="248">
        <f>1424.21*'Противоэроз защита'!B28/'Противоэроз защита'!$B$24</f>
        <v>561</v>
      </c>
      <c r="E189" s="248"/>
      <c r="F189" s="248"/>
      <c r="G189" s="249"/>
      <c r="H189" s="250">
        <f t="shared" si="77"/>
        <v>561</v>
      </c>
      <c r="I189" s="251"/>
      <c r="J189" s="252"/>
      <c r="K189" s="253">
        <f>((D189)*1.023*1.01-(D189)*0.023*0.15)*8.1*1000</f>
        <v>4679423.3</v>
      </c>
      <c r="L189" s="253"/>
      <c r="M189" s="253"/>
      <c r="N189" s="253"/>
      <c r="O189" s="250">
        <f t="shared" si="72"/>
        <v>4679423.3</v>
      </c>
      <c r="P189" s="254"/>
    </row>
    <row r="190" spans="1:16" s="255" customFormat="1" ht="38.25" outlineLevel="1" x14ac:dyDescent="0.2">
      <c r="A190" s="246" t="s">
        <v>861</v>
      </c>
      <c r="B190" s="247" t="s">
        <v>334</v>
      </c>
      <c r="C190" s="247" t="s">
        <v>497</v>
      </c>
      <c r="D190" s="248">
        <f>0.68*'Противоэроз защита'!B28/'Противоэроз защита'!$B$24</f>
        <v>0.27</v>
      </c>
      <c r="E190" s="248"/>
      <c r="F190" s="248"/>
      <c r="G190" s="249"/>
      <c r="H190" s="250">
        <f t="shared" si="77"/>
        <v>0.27</v>
      </c>
      <c r="I190" s="251"/>
      <c r="J190" s="252"/>
      <c r="K190" s="253">
        <f t="shared" ref="K190" si="78">((D190)*1.023*1.01-(D190)*0.023*0.15)*8.1*1000</f>
        <v>2252.13</v>
      </c>
      <c r="L190" s="253">
        <f t="shared" ref="L190" si="79">((E190)*1.023*1.01-(E190)*0.023*0.15)*8.1*1000</f>
        <v>0</v>
      </c>
      <c r="M190" s="253">
        <f t="shared" ref="M190" si="80">F190*4.09*1000</f>
        <v>0</v>
      </c>
      <c r="N190" s="253"/>
      <c r="O190" s="253">
        <f t="shared" si="72"/>
        <v>2252.13</v>
      </c>
    </row>
    <row r="191" spans="1:16" s="241" customFormat="1" x14ac:dyDescent="0.2">
      <c r="A191" s="245" t="s">
        <v>340</v>
      </c>
      <c r="B191" s="235"/>
      <c r="C191" s="235" t="s">
        <v>857</v>
      </c>
      <c r="D191" s="237">
        <f>D192+D195+D199+D204</f>
        <v>7730.36</v>
      </c>
      <c r="E191" s="243"/>
      <c r="F191" s="243"/>
      <c r="G191" s="243"/>
      <c r="H191" s="244">
        <f t="shared" si="77"/>
        <v>7730.36</v>
      </c>
      <c r="I191" s="238"/>
      <c r="J191" s="239"/>
      <c r="K191" s="240">
        <f>K192+K195+K199+K204</f>
        <v>64480617.979999997</v>
      </c>
      <c r="L191" s="240"/>
      <c r="M191" s="240"/>
      <c r="N191" s="240"/>
      <c r="O191" s="240">
        <f t="shared" si="72"/>
        <v>64480617.979999997</v>
      </c>
    </row>
    <row r="192" spans="1:16" s="231" customFormat="1" ht="25.5" outlineLevel="1" x14ac:dyDescent="0.2">
      <c r="A192" s="284" t="s">
        <v>473</v>
      </c>
      <c r="B192" s="285"/>
      <c r="C192" s="285" t="s">
        <v>810</v>
      </c>
      <c r="D192" s="286">
        <f>SUM(D193:D194)</f>
        <v>502.4</v>
      </c>
      <c r="E192" s="286"/>
      <c r="F192" s="286"/>
      <c r="G192" s="287"/>
      <c r="H192" s="288">
        <f t="shared" si="77"/>
        <v>502.4</v>
      </c>
      <c r="I192" s="289"/>
      <c r="J192" s="230"/>
      <c r="K192" s="286">
        <f>SUM(K193:K194)</f>
        <v>4190627.92</v>
      </c>
      <c r="L192" s="242"/>
      <c r="M192" s="242"/>
      <c r="N192" s="242"/>
      <c r="O192" s="242">
        <f t="shared" si="72"/>
        <v>4190627.92</v>
      </c>
      <c r="P192" s="256"/>
    </row>
    <row r="193" spans="1:16" s="255" customFormat="1" ht="25.5" outlineLevel="1" x14ac:dyDescent="0.2">
      <c r="A193" s="246" t="s">
        <v>867</v>
      </c>
      <c r="B193" s="247" t="s">
        <v>329</v>
      </c>
      <c r="C193" s="247" t="s">
        <v>810</v>
      </c>
      <c r="D193" s="248">
        <f>1424.21*'Противоэроз защита'!B29/'Противоэроз защита'!$B$24</f>
        <v>502.16</v>
      </c>
      <c r="E193" s="248"/>
      <c r="F193" s="248"/>
      <c r="G193" s="249"/>
      <c r="H193" s="250">
        <f t="shared" si="77"/>
        <v>502.16</v>
      </c>
      <c r="I193" s="251"/>
      <c r="J193" s="252"/>
      <c r="K193" s="253">
        <f>((D193)*1.023*1.01-(D193)*0.023*0.15)*8.1*1000</f>
        <v>4188626.03</v>
      </c>
      <c r="L193" s="253"/>
      <c r="M193" s="253"/>
      <c r="N193" s="253"/>
      <c r="O193" s="253">
        <f t="shared" si="72"/>
        <v>4188626.03</v>
      </c>
      <c r="P193" s="254"/>
    </row>
    <row r="194" spans="1:16" s="255" customFormat="1" ht="38.25" outlineLevel="1" x14ac:dyDescent="0.2">
      <c r="A194" s="246" t="s">
        <v>868</v>
      </c>
      <c r="B194" s="247" t="s">
        <v>334</v>
      </c>
      <c r="C194" s="247" t="s">
        <v>497</v>
      </c>
      <c r="D194" s="248">
        <f>0.68*'Противоэроз защита'!B29/'Противоэроз защита'!$B$24</f>
        <v>0.24</v>
      </c>
      <c r="E194" s="248"/>
      <c r="F194" s="248"/>
      <c r="G194" s="249"/>
      <c r="H194" s="250">
        <f t="shared" si="77"/>
        <v>0.24</v>
      </c>
      <c r="I194" s="251"/>
      <c r="J194" s="252"/>
      <c r="K194" s="253">
        <f t="shared" ref="K194" si="81">((D194)*1.023*1.01-(D194)*0.023*0.15)*8.1*1000</f>
        <v>2001.89</v>
      </c>
      <c r="L194" s="253"/>
      <c r="M194" s="253"/>
      <c r="N194" s="253"/>
      <c r="O194" s="253">
        <f t="shared" si="72"/>
        <v>2001.89</v>
      </c>
    </row>
    <row r="195" spans="1:16" s="231" customFormat="1" outlineLevel="1" x14ac:dyDescent="0.2">
      <c r="A195" s="284" t="s">
        <v>474</v>
      </c>
      <c r="B195" s="285" t="s">
        <v>330</v>
      </c>
      <c r="C195" s="285" t="s">
        <v>324</v>
      </c>
      <c r="D195" s="286">
        <f>SUM(D196:D198)</f>
        <v>217.62</v>
      </c>
      <c r="E195" s="286"/>
      <c r="F195" s="286"/>
      <c r="G195" s="287"/>
      <c r="H195" s="288">
        <f t="shared" si="77"/>
        <v>217.62</v>
      </c>
      <c r="I195" s="289"/>
      <c r="J195" s="230"/>
      <c r="K195" s="242">
        <f>SUM(K196:K198)</f>
        <v>1815215.86</v>
      </c>
      <c r="L195" s="242"/>
      <c r="M195" s="242"/>
      <c r="N195" s="242"/>
      <c r="O195" s="242">
        <f t="shared" si="72"/>
        <v>1815215.86</v>
      </c>
    </row>
    <row r="196" spans="1:16" s="255" customFormat="1" outlineLevel="2" x14ac:dyDescent="0.2">
      <c r="A196" s="246" t="s">
        <v>845</v>
      </c>
      <c r="B196" s="247"/>
      <c r="C196" s="247" t="s">
        <v>374</v>
      </c>
      <c r="D196" s="248">
        <v>123.22</v>
      </c>
      <c r="E196" s="248"/>
      <c r="F196" s="248"/>
      <c r="G196" s="249"/>
      <c r="H196" s="250">
        <f t="shared" ref="H196:H198" si="82">SUM(D196:G196)</f>
        <v>123.22</v>
      </c>
      <c r="I196" s="251"/>
      <c r="J196" s="252"/>
      <c r="K196" s="253">
        <f>((D196)*1.023*1.01-(D196)*0.023*0.15)*8.1*1000</f>
        <v>1027804.88</v>
      </c>
      <c r="L196" s="253"/>
      <c r="M196" s="253"/>
      <c r="N196" s="253"/>
      <c r="O196" s="253">
        <f t="shared" si="72"/>
        <v>1027804.88</v>
      </c>
    </row>
    <row r="197" spans="1:16" s="255" customFormat="1" outlineLevel="2" x14ac:dyDescent="0.2">
      <c r="A197" s="246" t="s">
        <v>846</v>
      </c>
      <c r="B197" s="247"/>
      <c r="C197" s="247" t="s">
        <v>476</v>
      </c>
      <c r="D197" s="248">
        <v>87.86</v>
      </c>
      <c r="E197" s="248"/>
      <c r="F197" s="248"/>
      <c r="G197" s="249"/>
      <c r="H197" s="250">
        <f t="shared" si="82"/>
        <v>87.86</v>
      </c>
      <c r="I197" s="251"/>
      <c r="J197" s="252"/>
      <c r="K197" s="253">
        <f>((D197)*1.023*1.01-(D197)*0.023*0.15)*8.1*1000</f>
        <v>732859.41</v>
      </c>
      <c r="L197" s="253"/>
      <c r="M197" s="253"/>
      <c r="N197" s="253"/>
      <c r="O197" s="253">
        <f t="shared" si="72"/>
        <v>732859.41</v>
      </c>
    </row>
    <row r="198" spans="1:16" s="255" customFormat="1" ht="38.25" outlineLevel="1" x14ac:dyDescent="0.2">
      <c r="A198" s="246" t="s">
        <v>847</v>
      </c>
      <c r="B198" s="247" t="s">
        <v>334</v>
      </c>
      <c r="C198" s="247" t="s">
        <v>498</v>
      </c>
      <c r="D198" s="248">
        <v>6.54</v>
      </c>
      <c r="E198" s="248"/>
      <c r="F198" s="248"/>
      <c r="G198" s="249"/>
      <c r="H198" s="250">
        <f t="shared" si="82"/>
        <v>6.54</v>
      </c>
      <c r="I198" s="251"/>
      <c r="J198" s="252"/>
      <c r="K198" s="253">
        <f>((D198)*1.023*1.01-(D198)*0.023*0.15)*8.1*1000</f>
        <v>54551.57</v>
      </c>
      <c r="L198" s="253"/>
      <c r="M198" s="253"/>
      <c r="N198" s="253"/>
      <c r="O198" s="253">
        <f t="shared" si="72"/>
        <v>54551.57</v>
      </c>
    </row>
    <row r="199" spans="1:16" s="231" customFormat="1" outlineLevel="1" x14ac:dyDescent="0.2">
      <c r="A199" s="284" t="s">
        <v>848</v>
      </c>
      <c r="B199" s="285" t="s">
        <v>331</v>
      </c>
      <c r="C199" s="285" t="s">
        <v>332</v>
      </c>
      <c r="D199" s="286">
        <f>SUM(D200:D203)</f>
        <v>4894.49</v>
      </c>
      <c r="E199" s="286"/>
      <c r="F199" s="286"/>
      <c r="G199" s="287"/>
      <c r="H199" s="288">
        <f>SUM(D199:G199)</f>
        <v>4894.49</v>
      </c>
      <c r="I199" s="289"/>
      <c r="J199" s="230"/>
      <c r="K199" s="242">
        <f>SUM(K200:K203)</f>
        <v>40826008.090000004</v>
      </c>
      <c r="L199" s="242"/>
      <c r="M199" s="242"/>
      <c r="N199" s="242"/>
      <c r="O199" s="242">
        <f t="shared" si="72"/>
        <v>40826008.090000004</v>
      </c>
    </row>
    <row r="200" spans="1:16" s="255" customFormat="1" ht="25.5" outlineLevel="2" x14ac:dyDescent="0.2">
      <c r="A200" s="246" t="s">
        <v>849</v>
      </c>
      <c r="B200" s="247"/>
      <c r="C200" s="247" t="s">
        <v>488</v>
      </c>
      <c r="D200" s="248">
        <v>1063.71</v>
      </c>
      <c r="E200" s="248"/>
      <c r="F200" s="248"/>
      <c r="G200" s="249"/>
      <c r="H200" s="250">
        <f t="shared" ref="H200:H203" si="83">SUM(D200:G200)</f>
        <v>1063.71</v>
      </c>
      <c r="I200" s="251"/>
      <c r="J200" s="252"/>
      <c r="K200" s="253">
        <f t="shared" ref="K200:K205" si="84">((D200)*1.023*1.01-(D200)*0.023*0.15)*8.1*1000</f>
        <v>8872637</v>
      </c>
      <c r="L200" s="253"/>
      <c r="M200" s="253"/>
      <c r="N200" s="253"/>
      <c r="O200" s="253">
        <f t="shared" si="72"/>
        <v>8872637</v>
      </c>
    </row>
    <row r="201" spans="1:16" s="255" customFormat="1" ht="25.5" outlineLevel="2" x14ac:dyDescent="0.2">
      <c r="A201" s="246" t="s">
        <v>850</v>
      </c>
      <c r="B201" s="247"/>
      <c r="C201" s="247" t="s">
        <v>489</v>
      </c>
      <c r="D201" s="248">
        <v>1945.22</v>
      </c>
      <c r="E201" s="248"/>
      <c r="F201" s="248"/>
      <c r="G201" s="249"/>
      <c r="H201" s="250">
        <f t="shared" si="83"/>
        <v>1945.22</v>
      </c>
      <c r="I201" s="251"/>
      <c r="J201" s="252"/>
      <c r="K201" s="253">
        <f t="shared" si="84"/>
        <v>16225504.08</v>
      </c>
      <c r="L201" s="253"/>
      <c r="M201" s="253"/>
      <c r="N201" s="253"/>
      <c r="O201" s="253">
        <f t="shared" si="72"/>
        <v>16225504.08</v>
      </c>
    </row>
    <row r="202" spans="1:16" s="255" customFormat="1" ht="25.5" outlineLevel="2" x14ac:dyDescent="0.2">
      <c r="A202" s="246" t="s">
        <v>851</v>
      </c>
      <c r="B202" s="247"/>
      <c r="C202" s="247" t="s">
        <v>490</v>
      </c>
      <c r="D202" s="248">
        <f>1619.98-0.01</f>
        <v>1619.97</v>
      </c>
      <c r="E202" s="248"/>
      <c r="F202" s="248"/>
      <c r="G202" s="249"/>
      <c r="H202" s="250">
        <f t="shared" si="83"/>
        <v>1619.97</v>
      </c>
      <c r="I202" s="251"/>
      <c r="J202" s="252"/>
      <c r="K202" s="253">
        <f t="shared" si="84"/>
        <v>13512522.92</v>
      </c>
      <c r="L202" s="253"/>
      <c r="M202" s="253"/>
      <c r="N202" s="253"/>
      <c r="O202" s="253">
        <f t="shared" si="72"/>
        <v>13512522.92</v>
      </c>
    </row>
    <row r="203" spans="1:16" s="255" customFormat="1" ht="38.25" outlineLevel="1" x14ac:dyDescent="0.2">
      <c r="A203" s="246" t="s">
        <v>852</v>
      </c>
      <c r="B203" s="247"/>
      <c r="C203" s="247" t="s">
        <v>499</v>
      </c>
      <c r="D203" s="248">
        <v>265.58999999999997</v>
      </c>
      <c r="E203" s="248"/>
      <c r="F203" s="248"/>
      <c r="G203" s="249"/>
      <c r="H203" s="250">
        <f t="shared" si="83"/>
        <v>265.58999999999997</v>
      </c>
      <c r="I203" s="251"/>
      <c r="J203" s="252"/>
      <c r="K203" s="253">
        <f>((D203)*1.023*1.01-(D203)*0.023*0.15)*8.1*1000</f>
        <v>2215344.09</v>
      </c>
      <c r="L203" s="253"/>
      <c r="M203" s="253"/>
      <c r="N203" s="253"/>
      <c r="O203" s="253">
        <f t="shared" si="72"/>
        <v>2215344.09</v>
      </c>
    </row>
    <row r="204" spans="1:16" s="231" customFormat="1" ht="30.75" customHeight="1" outlineLevel="1" x14ac:dyDescent="0.25">
      <c r="A204" s="284" t="s">
        <v>853</v>
      </c>
      <c r="B204" s="285"/>
      <c r="C204" s="285" t="s">
        <v>862</v>
      </c>
      <c r="D204" s="286">
        <f>SUM(D205:D206)</f>
        <v>2115.85</v>
      </c>
      <c r="E204" s="286"/>
      <c r="F204" s="286"/>
      <c r="G204" s="287"/>
      <c r="H204" s="288">
        <f>SUM(D204:G204)</f>
        <v>2115.85</v>
      </c>
      <c r="I204" s="289"/>
      <c r="J204" s="230"/>
      <c r="K204" s="286">
        <f>SUM(K205:K206)</f>
        <v>17648766.109999999</v>
      </c>
      <c r="L204" s="242"/>
      <c r="M204" s="242"/>
      <c r="N204" s="242"/>
      <c r="O204" s="242">
        <f t="shared" si="72"/>
        <v>17648766.109999999</v>
      </c>
      <c r="P204" s="293" t="s">
        <v>761</v>
      </c>
    </row>
    <row r="205" spans="1:16" s="255" customFormat="1" ht="30.75" customHeight="1" outlineLevel="1" x14ac:dyDescent="0.25">
      <c r="A205" s="246" t="s">
        <v>854</v>
      </c>
      <c r="B205" s="247" t="s">
        <v>333</v>
      </c>
      <c r="C205" s="247" t="s">
        <v>862</v>
      </c>
      <c r="D205" s="248">
        <v>2105.0700000000002</v>
      </c>
      <c r="E205" s="248"/>
      <c r="F205" s="248"/>
      <c r="G205" s="249"/>
      <c r="H205" s="250">
        <f>SUM(D205:G205)</f>
        <v>2105.0700000000002</v>
      </c>
      <c r="I205" s="251"/>
      <c r="J205" s="252"/>
      <c r="K205" s="257">
        <f t="shared" si="84"/>
        <v>17558847.780000001</v>
      </c>
      <c r="L205" s="257"/>
      <c r="M205" s="257"/>
      <c r="N205" s="257"/>
      <c r="O205" s="257">
        <f t="shared" si="72"/>
        <v>17558847.780000001</v>
      </c>
      <c r="P205" s="294"/>
    </row>
    <row r="206" spans="1:16" s="255" customFormat="1" ht="38.25" outlineLevel="1" x14ac:dyDescent="0.2">
      <c r="A206" s="246" t="s">
        <v>869</v>
      </c>
      <c r="B206" s="247" t="s">
        <v>334</v>
      </c>
      <c r="C206" s="247" t="s">
        <v>500</v>
      </c>
      <c r="D206" s="248">
        <v>10.78</v>
      </c>
      <c r="E206" s="248"/>
      <c r="F206" s="248"/>
      <c r="G206" s="249"/>
      <c r="H206" s="250">
        <f>SUM(D206:G206)</f>
        <v>10.78</v>
      </c>
      <c r="I206" s="251"/>
      <c r="J206" s="252"/>
      <c r="K206" s="253">
        <f>((D206)*1.023*1.01-(D206)*0.023*0.15)*8.1*1000</f>
        <v>89918.33</v>
      </c>
      <c r="L206" s="253"/>
      <c r="M206" s="253"/>
      <c r="N206" s="253"/>
      <c r="O206" s="253">
        <f t="shared" si="72"/>
        <v>89918.33</v>
      </c>
    </row>
    <row r="207" spans="1:16" s="241" customFormat="1" ht="25.5" x14ac:dyDescent="0.2">
      <c r="A207" s="245">
        <v>8</v>
      </c>
      <c r="B207" s="235" t="s">
        <v>41</v>
      </c>
      <c r="C207" s="235" t="s">
        <v>42</v>
      </c>
      <c r="D207" s="236">
        <f>SUM(D208:D214)</f>
        <v>3593.23</v>
      </c>
      <c r="E207" s="236">
        <f>SUM(E208:E214)</f>
        <v>552.15</v>
      </c>
      <c r="F207" s="236">
        <f>SUM(F208:F214)</f>
        <v>3256.7</v>
      </c>
      <c r="G207" s="243"/>
      <c r="H207" s="244">
        <f t="shared" ref="H207:H225" si="85">D207+E207+F207+G207</f>
        <v>7402.08</v>
      </c>
      <c r="I207" s="238"/>
      <c r="J207" s="239"/>
      <c r="K207" s="240">
        <f t="shared" ref="K207:M207" si="86">SUM(K208:K214)</f>
        <v>29971914.75</v>
      </c>
      <c r="L207" s="240">
        <f t="shared" si="86"/>
        <v>4605603.5199999996</v>
      </c>
      <c r="M207" s="240">
        <f t="shared" si="86"/>
        <v>13319903</v>
      </c>
      <c r="N207" s="240"/>
      <c r="O207" s="240">
        <f t="shared" ref="O207:O226" si="87">SUM(K207:N207)</f>
        <v>47897421.270000003</v>
      </c>
    </row>
    <row r="208" spans="1:16" s="231" customFormat="1" ht="25.5" outlineLevel="1" x14ac:dyDescent="0.2">
      <c r="A208" s="284" t="s">
        <v>501</v>
      </c>
      <c r="B208" s="285"/>
      <c r="C208" s="285" t="s">
        <v>505</v>
      </c>
      <c r="D208" s="286">
        <v>22.79</v>
      </c>
      <c r="E208" s="286"/>
      <c r="F208" s="286"/>
      <c r="G208" s="287"/>
      <c r="H208" s="288"/>
      <c r="I208" s="289"/>
      <c r="J208" s="230"/>
      <c r="K208" s="242">
        <f t="shared" ref="K208:L214" si="88">((D208)*1.023*1.01-(D208)*0.023*0.15)*8.1*1000</f>
        <v>190096.36</v>
      </c>
      <c r="L208" s="242">
        <f t="shared" si="88"/>
        <v>0</v>
      </c>
      <c r="M208" s="242">
        <f t="shared" ref="M208:M214" si="89">F208*4.09*1000</f>
        <v>0</v>
      </c>
      <c r="N208" s="242"/>
      <c r="O208" s="242">
        <f t="shared" si="87"/>
        <v>190096.36</v>
      </c>
    </row>
    <row r="209" spans="1:15" s="231" customFormat="1" ht="38.25" outlineLevel="1" x14ac:dyDescent="0.2">
      <c r="A209" s="284" t="s">
        <v>502</v>
      </c>
      <c r="B209" s="285"/>
      <c r="C209" s="285" t="s">
        <v>506</v>
      </c>
      <c r="D209" s="286">
        <v>5.51</v>
      </c>
      <c r="E209" s="286"/>
      <c r="F209" s="286"/>
      <c r="G209" s="287"/>
      <c r="H209" s="288"/>
      <c r="I209" s="289"/>
      <c r="J209" s="230"/>
      <c r="K209" s="242">
        <f t="shared" si="88"/>
        <v>45960.11</v>
      </c>
      <c r="L209" s="242">
        <f t="shared" si="88"/>
        <v>0</v>
      </c>
      <c r="M209" s="242">
        <f t="shared" si="89"/>
        <v>0</v>
      </c>
      <c r="N209" s="242"/>
      <c r="O209" s="242">
        <f t="shared" si="87"/>
        <v>45960.11</v>
      </c>
    </row>
    <row r="210" spans="1:15" s="231" customFormat="1" ht="25.5" outlineLevel="1" x14ac:dyDescent="0.2">
      <c r="A210" s="284" t="s">
        <v>503</v>
      </c>
      <c r="B210" s="285"/>
      <c r="C210" s="285" t="s">
        <v>507</v>
      </c>
      <c r="D210" s="286">
        <v>1748.67</v>
      </c>
      <c r="E210" s="286"/>
      <c r="F210" s="286"/>
      <c r="G210" s="287"/>
      <c r="H210" s="288"/>
      <c r="I210" s="289"/>
      <c r="J210" s="230"/>
      <c r="K210" s="242">
        <f t="shared" si="88"/>
        <v>14586037.68</v>
      </c>
      <c r="L210" s="242">
        <f t="shared" si="88"/>
        <v>0</v>
      </c>
      <c r="M210" s="242">
        <f t="shared" si="89"/>
        <v>0</v>
      </c>
      <c r="N210" s="242"/>
      <c r="O210" s="242">
        <f t="shared" si="87"/>
        <v>14586037.68</v>
      </c>
    </row>
    <row r="211" spans="1:15" s="231" customFormat="1" ht="26.25" customHeight="1" outlineLevel="1" x14ac:dyDescent="0.2">
      <c r="A211" s="284" t="s">
        <v>504</v>
      </c>
      <c r="B211" s="285"/>
      <c r="C211" s="285" t="s">
        <v>508</v>
      </c>
      <c r="D211" s="286">
        <v>391.3</v>
      </c>
      <c r="E211" s="286"/>
      <c r="F211" s="286"/>
      <c r="G211" s="287"/>
      <c r="H211" s="288"/>
      <c r="I211" s="289"/>
      <c r="J211" s="230"/>
      <c r="K211" s="242">
        <f t="shared" si="88"/>
        <v>3263918.6</v>
      </c>
      <c r="L211" s="242">
        <f t="shared" si="88"/>
        <v>0</v>
      </c>
      <c r="M211" s="242">
        <f t="shared" si="89"/>
        <v>0</v>
      </c>
      <c r="N211" s="242"/>
      <c r="O211" s="242">
        <f t="shared" si="87"/>
        <v>3263918.6</v>
      </c>
    </row>
    <row r="212" spans="1:15" s="231" customFormat="1" ht="12.75" customHeight="1" outlineLevel="1" x14ac:dyDescent="0.2">
      <c r="A212" s="284" t="s">
        <v>509</v>
      </c>
      <c r="B212" s="285"/>
      <c r="C212" s="285" t="s">
        <v>512</v>
      </c>
      <c r="D212" s="286">
        <f>1166.5-0.01</f>
        <v>1166.49</v>
      </c>
      <c r="E212" s="286"/>
      <c r="F212" s="286"/>
      <c r="G212" s="287"/>
      <c r="H212" s="288"/>
      <c r="I212" s="289"/>
      <c r="J212" s="230"/>
      <c r="K212" s="242">
        <f t="shared" si="88"/>
        <v>9729947.3800000008</v>
      </c>
      <c r="L212" s="242">
        <f t="shared" si="88"/>
        <v>0</v>
      </c>
      <c r="M212" s="242">
        <f t="shared" si="89"/>
        <v>0</v>
      </c>
      <c r="N212" s="242"/>
      <c r="O212" s="242">
        <f t="shared" si="87"/>
        <v>9729947.3800000008</v>
      </c>
    </row>
    <row r="213" spans="1:15" s="231" customFormat="1" ht="26.25" customHeight="1" outlineLevel="1" x14ac:dyDescent="0.2">
      <c r="A213" s="284" t="s">
        <v>510</v>
      </c>
      <c r="B213" s="285"/>
      <c r="C213" s="285" t="s">
        <v>513</v>
      </c>
      <c r="D213" s="286">
        <f>324.74-E213</f>
        <v>258.47000000000003</v>
      </c>
      <c r="E213" s="286">
        <v>66.27</v>
      </c>
      <c r="F213" s="286"/>
      <c r="G213" s="287"/>
      <c r="H213" s="288"/>
      <c r="I213" s="289"/>
      <c r="J213" s="230"/>
      <c r="K213" s="242">
        <f t="shared" si="88"/>
        <v>2155954.62</v>
      </c>
      <c r="L213" s="242">
        <f t="shared" si="88"/>
        <v>552772.52</v>
      </c>
      <c r="M213" s="242">
        <f t="shared" si="89"/>
        <v>0</v>
      </c>
      <c r="N213" s="242"/>
      <c r="O213" s="242">
        <f t="shared" si="87"/>
        <v>2708727.14</v>
      </c>
    </row>
    <row r="214" spans="1:15" s="231" customFormat="1" outlineLevel="1" x14ac:dyDescent="0.2">
      <c r="A214" s="284" t="s">
        <v>511</v>
      </c>
      <c r="B214" s="285"/>
      <c r="C214" s="285" t="s">
        <v>514</v>
      </c>
      <c r="D214" s="286"/>
      <c r="E214" s="286">
        <v>485.88</v>
      </c>
      <c r="F214" s="286">
        <v>3256.7</v>
      </c>
      <c r="G214" s="287"/>
      <c r="H214" s="288"/>
      <c r="I214" s="289"/>
      <c r="J214" s="230"/>
      <c r="K214" s="242">
        <f t="shared" si="88"/>
        <v>0</v>
      </c>
      <c r="L214" s="242">
        <f t="shared" si="88"/>
        <v>4052831</v>
      </c>
      <c r="M214" s="242">
        <f t="shared" si="89"/>
        <v>13319903</v>
      </c>
      <c r="N214" s="242"/>
      <c r="O214" s="242">
        <f t="shared" si="87"/>
        <v>17372734</v>
      </c>
    </row>
    <row r="215" spans="1:15" s="58" customFormat="1" ht="19.5" customHeight="1" x14ac:dyDescent="0.2">
      <c r="A215" s="295">
        <v>9</v>
      </c>
      <c r="B215" s="160" t="s">
        <v>43</v>
      </c>
      <c r="C215" s="160" t="s">
        <v>44</v>
      </c>
      <c r="D215" s="32">
        <f>SUM(D216:D224)</f>
        <v>1750.51</v>
      </c>
      <c r="E215" s="32"/>
      <c r="F215" s="32"/>
      <c r="G215" s="47"/>
      <c r="H215" s="57">
        <f>D215+E215+F215+G215</f>
        <v>1750.51</v>
      </c>
      <c r="I215" s="77"/>
      <c r="J215" s="12"/>
      <c r="K215" s="69">
        <f t="shared" ref="K215:M215" si="90">SUM(K216:K224)</f>
        <v>14601385.52</v>
      </c>
      <c r="L215" s="69">
        <f t="shared" si="90"/>
        <v>0</v>
      </c>
      <c r="M215" s="69">
        <f t="shared" si="90"/>
        <v>0</v>
      </c>
      <c r="N215" s="69"/>
      <c r="O215" s="69">
        <f t="shared" si="87"/>
        <v>14601385.52</v>
      </c>
    </row>
    <row r="216" spans="1:15" s="4" customFormat="1" outlineLevel="1" x14ac:dyDescent="0.2">
      <c r="A216" s="59" t="s">
        <v>516</v>
      </c>
      <c r="B216" s="159"/>
      <c r="C216" s="159" t="s">
        <v>515</v>
      </c>
      <c r="D216" s="24">
        <v>204.52</v>
      </c>
      <c r="E216" s="24"/>
      <c r="F216" s="24"/>
      <c r="G216" s="25"/>
      <c r="H216" s="26"/>
      <c r="I216" s="76"/>
      <c r="J216" s="2"/>
      <c r="K216" s="61">
        <f t="shared" ref="K216:K224" si="91">((D216)*1.023*1.01-(D216)*0.023*0.15)*8.1*1000</f>
        <v>1705945.91</v>
      </c>
      <c r="L216" s="61">
        <f t="shared" ref="L216:L224" si="92">((E216)*1.023*1.01-(E216)*0.023*0.15)*8.1*1000</f>
        <v>0</v>
      </c>
      <c r="M216" s="61">
        <f t="shared" ref="M216:M224" si="93">F216*4.09*1000</f>
        <v>0</v>
      </c>
      <c r="N216" s="61"/>
      <c r="O216" s="61">
        <f t="shared" si="87"/>
        <v>1705945.91</v>
      </c>
    </row>
    <row r="217" spans="1:15" s="4" customFormat="1" ht="26.25" customHeight="1" outlineLevel="1" x14ac:dyDescent="0.2">
      <c r="A217" s="59" t="s">
        <v>518</v>
      </c>
      <c r="B217" s="159"/>
      <c r="C217" s="159" t="s">
        <v>517</v>
      </c>
      <c r="D217" s="24">
        <v>111.3</v>
      </c>
      <c r="E217" s="24"/>
      <c r="F217" s="24"/>
      <c r="G217" s="25"/>
      <c r="H217" s="26"/>
      <c r="I217" s="76"/>
      <c r="J217" s="2"/>
      <c r="K217" s="61">
        <f t="shared" si="91"/>
        <v>928377.56</v>
      </c>
      <c r="L217" s="61">
        <f t="shared" si="92"/>
        <v>0</v>
      </c>
      <c r="M217" s="61">
        <f t="shared" si="93"/>
        <v>0</v>
      </c>
      <c r="N217" s="61"/>
      <c r="O217" s="61">
        <f t="shared" si="87"/>
        <v>928377.56</v>
      </c>
    </row>
    <row r="218" spans="1:15" s="4" customFormat="1" outlineLevel="1" x14ac:dyDescent="0.2">
      <c r="A218" s="59" t="s">
        <v>519</v>
      </c>
      <c r="B218" s="159"/>
      <c r="C218" s="159" t="s">
        <v>522</v>
      </c>
      <c r="D218" s="24">
        <v>553.19000000000005</v>
      </c>
      <c r="E218" s="24"/>
      <c r="F218" s="24"/>
      <c r="G218" s="25"/>
      <c r="H218" s="26"/>
      <c r="I218" s="76"/>
      <c r="J218" s="2"/>
      <c r="K218" s="61">
        <f t="shared" si="91"/>
        <v>4614278.3899999997</v>
      </c>
      <c r="L218" s="61">
        <f t="shared" si="92"/>
        <v>0</v>
      </c>
      <c r="M218" s="61">
        <f t="shared" si="93"/>
        <v>0</v>
      </c>
      <c r="N218" s="61"/>
      <c r="O218" s="61">
        <f t="shared" si="87"/>
        <v>4614278.3899999997</v>
      </c>
    </row>
    <row r="219" spans="1:15" s="4" customFormat="1" outlineLevel="1" x14ac:dyDescent="0.2">
      <c r="A219" s="59" t="s">
        <v>520</v>
      </c>
      <c r="B219" s="159"/>
      <c r="C219" s="159" t="s">
        <v>523</v>
      </c>
      <c r="D219" s="24">
        <v>261.25</v>
      </c>
      <c r="E219" s="24"/>
      <c r="F219" s="24"/>
      <c r="G219" s="25"/>
      <c r="H219" s="26"/>
      <c r="I219" s="76"/>
      <c r="J219" s="2"/>
      <c r="K219" s="61">
        <f t="shared" si="91"/>
        <v>2179143.2000000002</v>
      </c>
      <c r="L219" s="61">
        <f t="shared" si="92"/>
        <v>0</v>
      </c>
      <c r="M219" s="61">
        <f t="shared" si="93"/>
        <v>0</v>
      </c>
      <c r="N219" s="61"/>
      <c r="O219" s="61">
        <f t="shared" si="87"/>
        <v>2179143.2000000002</v>
      </c>
    </row>
    <row r="220" spans="1:15" s="4" customFormat="1" ht="26.25" customHeight="1" outlineLevel="1" x14ac:dyDescent="0.2">
      <c r="A220" s="59" t="s">
        <v>521</v>
      </c>
      <c r="B220" s="159"/>
      <c r="C220" s="159" t="s">
        <v>524</v>
      </c>
      <c r="D220" s="24">
        <v>57.37</v>
      </c>
      <c r="E220" s="24"/>
      <c r="F220" s="24"/>
      <c r="G220" s="25"/>
      <c r="H220" s="26"/>
      <c r="I220" s="76"/>
      <c r="J220" s="2"/>
      <c r="K220" s="61">
        <f t="shared" si="91"/>
        <v>478535.67999999999</v>
      </c>
      <c r="L220" s="61">
        <f t="shared" si="92"/>
        <v>0</v>
      </c>
      <c r="M220" s="61">
        <f t="shared" si="93"/>
        <v>0</v>
      </c>
      <c r="N220" s="61"/>
      <c r="O220" s="61">
        <f t="shared" si="87"/>
        <v>478535.67999999999</v>
      </c>
    </row>
    <row r="221" spans="1:15" s="4" customFormat="1" ht="26.25" customHeight="1" outlineLevel="1" x14ac:dyDescent="0.2">
      <c r="A221" s="59" t="s">
        <v>525</v>
      </c>
      <c r="B221" s="159"/>
      <c r="C221" s="159" t="s">
        <v>527</v>
      </c>
      <c r="D221" s="24">
        <v>74.69</v>
      </c>
      <c r="E221" s="24"/>
      <c r="F221" s="24"/>
      <c r="G221" s="25"/>
      <c r="H221" s="26"/>
      <c r="I221" s="76"/>
      <c r="J221" s="2"/>
      <c r="K221" s="61">
        <f t="shared" si="91"/>
        <v>623005.56999999995</v>
      </c>
      <c r="L221" s="61">
        <f t="shared" si="92"/>
        <v>0</v>
      </c>
      <c r="M221" s="61">
        <f t="shared" si="93"/>
        <v>0</v>
      </c>
      <c r="N221" s="61"/>
      <c r="O221" s="61">
        <f t="shared" si="87"/>
        <v>623005.56999999995</v>
      </c>
    </row>
    <row r="222" spans="1:15" s="4" customFormat="1" ht="26.25" customHeight="1" outlineLevel="1" x14ac:dyDescent="0.2">
      <c r="A222" s="59" t="s">
        <v>526</v>
      </c>
      <c r="B222" s="159"/>
      <c r="C222" s="159" t="s">
        <v>528</v>
      </c>
      <c r="D222" s="24">
        <v>36.61</v>
      </c>
      <c r="E222" s="24"/>
      <c r="F222" s="24"/>
      <c r="G222" s="25"/>
      <c r="H222" s="26"/>
      <c r="I222" s="76"/>
      <c r="J222" s="2"/>
      <c r="K222" s="61">
        <f t="shared" si="91"/>
        <v>305371.99</v>
      </c>
      <c r="L222" s="61">
        <f t="shared" si="92"/>
        <v>0</v>
      </c>
      <c r="M222" s="61">
        <f t="shared" si="93"/>
        <v>0</v>
      </c>
      <c r="N222" s="61"/>
      <c r="O222" s="61">
        <f t="shared" si="87"/>
        <v>305371.99</v>
      </c>
    </row>
    <row r="223" spans="1:15" s="4" customFormat="1" ht="26.25" customHeight="1" outlineLevel="1" x14ac:dyDescent="0.2">
      <c r="A223" s="59" t="s">
        <v>530</v>
      </c>
      <c r="B223" s="159"/>
      <c r="C223" s="159" t="s">
        <v>529</v>
      </c>
      <c r="D223" s="24">
        <v>420.29</v>
      </c>
      <c r="E223" s="24"/>
      <c r="F223" s="24"/>
      <c r="G223" s="25"/>
      <c r="H223" s="26"/>
      <c r="I223" s="76"/>
      <c r="J223" s="2"/>
      <c r="K223" s="61">
        <f t="shared" si="91"/>
        <v>3505730.51</v>
      </c>
      <c r="L223" s="61">
        <f t="shared" si="92"/>
        <v>0</v>
      </c>
      <c r="M223" s="61">
        <f t="shared" si="93"/>
        <v>0</v>
      </c>
      <c r="N223" s="61"/>
      <c r="O223" s="61">
        <f t="shared" si="87"/>
        <v>3505730.51</v>
      </c>
    </row>
    <row r="224" spans="1:15" s="4" customFormat="1" ht="26.25" customHeight="1" outlineLevel="1" x14ac:dyDescent="0.2">
      <c r="A224" s="59" t="s">
        <v>531</v>
      </c>
      <c r="B224" s="159"/>
      <c r="C224" s="159" t="s">
        <v>532</v>
      </c>
      <c r="D224" s="24">
        <v>31.29</v>
      </c>
      <c r="E224" s="24"/>
      <c r="F224" s="24"/>
      <c r="G224" s="25"/>
      <c r="H224" s="26"/>
      <c r="I224" s="76"/>
      <c r="J224" s="2"/>
      <c r="K224" s="61">
        <f t="shared" si="91"/>
        <v>260996.71</v>
      </c>
      <c r="L224" s="61">
        <f t="shared" si="92"/>
        <v>0</v>
      </c>
      <c r="M224" s="61">
        <f t="shared" si="93"/>
        <v>0</v>
      </c>
      <c r="N224" s="61"/>
      <c r="O224" s="61">
        <f t="shared" si="87"/>
        <v>260996.71</v>
      </c>
    </row>
    <row r="225" spans="1:15" s="58" customFormat="1" ht="19.5" customHeight="1" x14ac:dyDescent="0.2">
      <c r="A225" s="295">
        <v>10</v>
      </c>
      <c r="B225" s="160" t="s">
        <v>45</v>
      </c>
      <c r="C225" s="160" t="s">
        <v>46</v>
      </c>
      <c r="D225" s="32">
        <f>SUM(D226:D233)</f>
        <v>1154.8699999999999</v>
      </c>
      <c r="E225" s="32"/>
      <c r="F225" s="32"/>
      <c r="G225" s="47"/>
      <c r="H225" s="57">
        <f t="shared" si="85"/>
        <v>1154.8699999999999</v>
      </c>
      <c r="I225" s="77"/>
      <c r="J225" s="12"/>
      <c r="K225" s="69">
        <f t="shared" ref="K225:M225" si="94">SUM(K226:K233)</f>
        <v>9633022.4199999999</v>
      </c>
      <c r="L225" s="69">
        <f t="shared" si="94"/>
        <v>0</v>
      </c>
      <c r="M225" s="69">
        <f t="shared" si="94"/>
        <v>0</v>
      </c>
      <c r="N225" s="69"/>
      <c r="O225" s="69">
        <f t="shared" si="87"/>
        <v>9633022.4199999999</v>
      </c>
    </row>
    <row r="226" spans="1:15" s="4" customFormat="1" ht="17.25" customHeight="1" outlineLevel="1" x14ac:dyDescent="0.2">
      <c r="A226" s="59" t="s">
        <v>533</v>
      </c>
      <c r="B226" s="159"/>
      <c r="C226" s="159" t="s">
        <v>515</v>
      </c>
      <c r="D226" s="24">
        <v>293.72000000000003</v>
      </c>
      <c r="E226" s="24"/>
      <c r="F226" s="24"/>
      <c r="G226" s="25"/>
      <c r="H226" s="26"/>
      <c r="I226" s="76"/>
      <c r="J226" s="2"/>
      <c r="K226" s="61">
        <f t="shared" ref="K226:L233" si="95">((D226)*1.023*1.01-(D226)*0.023*0.15)*8.1*1000</f>
        <v>2449982.5499999998</v>
      </c>
      <c r="L226" s="61">
        <f t="shared" si="95"/>
        <v>0</v>
      </c>
      <c r="M226" s="61">
        <f t="shared" ref="M226:M233" si="96">F226*4.09*1000</f>
        <v>0</v>
      </c>
      <c r="N226" s="61"/>
      <c r="O226" s="61">
        <f t="shared" si="87"/>
        <v>2449982.5499999998</v>
      </c>
    </row>
    <row r="227" spans="1:15" s="4" customFormat="1" ht="26.25" customHeight="1" outlineLevel="1" x14ac:dyDescent="0.2">
      <c r="A227" s="59" t="s">
        <v>534</v>
      </c>
      <c r="B227" s="159"/>
      <c r="C227" s="159" t="s">
        <v>524</v>
      </c>
      <c r="D227" s="24">
        <v>62.67</v>
      </c>
      <c r="E227" s="24"/>
      <c r="F227" s="24"/>
      <c r="G227" s="25"/>
      <c r="H227" s="26"/>
      <c r="I227" s="76"/>
      <c r="J227" s="2"/>
      <c r="K227" s="61">
        <f t="shared" si="95"/>
        <v>522744.13</v>
      </c>
      <c r="L227" s="61">
        <f t="shared" si="95"/>
        <v>0</v>
      </c>
      <c r="M227" s="61">
        <f t="shared" si="96"/>
        <v>0</v>
      </c>
      <c r="N227" s="61"/>
      <c r="O227" s="61">
        <f t="shared" ref="O227:O233" si="97">SUM(K227:N227)</f>
        <v>522744.13</v>
      </c>
    </row>
    <row r="228" spans="1:15" s="4" customFormat="1" ht="19.5" customHeight="1" outlineLevel="1" x14ac:dyDescent="0.2">
      <c r="A228" s="59" t="s">
        <v>535</v>
      </c>
      <c r="B228" s="159"/>
      <c r="C228" s="159" t="s">
        <v>523</v>
      </c>
      <c r="D228" s="24">
        <f>261.25-0.01</f>
        <v>261.24</v>
      </c>
      <c r="E228" s="24"/>
      <c r="F228" s="24"/>
      <c r="G228" s="25"/>
      <c r="H228" s="26"/>
      <c r="I228" s="76"/>
      <c r="J228" s="2"/>
      <c r="K228" s="61">
        <f t="shared" si="95"/>
        <v>2179059.79</v>
      </c>
      <c r="L228" s="61">
        <f t="shared" si="95"/>
        <v>0</v>
      </c>
      <c r="M228" s="61">
        <f t="shared" si="96"/>
        <v>0</v>
      </c>
      <c r="N228" s="61"/>
      <c r="O228" s="61">
        <f t="shared" si="97"/>
        <v>2179059.79</v>
      </c>
    </row>
    <row r="229" spans="1:15" s="4" customFormat="1" ht="26.25" customHeight="1" outlineLevel="1" x14ac:dyDescent="0.2">
      <c r="A229" s="59" t="s">
        <v>536</v>
      </c>
      <c r="B229" s="159"/>
      <c r="C229" s="159" t="s">
        <v>524</v>
      </c>
      <c r="D229" s="24">
        <v>62.57</v>
      </c>
      <c r="E229" s="24"/>
      <c r="F229" s="24"/>
      <c r="G229" s="25"/>
      <c r="H229" s="26"/>
      <c r="I229" s="76"/>
      <c r="J229" s="2"/>
      <c r="K229" s="61">
        <f t="shared" si="95"/>
        <v>521910.01</v>
      </c>
      <c r="L229" s="61">
        <f t="shared" si="95"/>
        <v>0</v>
      </c>
      <c r="M229" s="61">
        <f t="shared" si="96"/>
        <v>0</v>
      </c>
      <c r="N229" s="61"/>
      <c r="O229" s="61">
        <f t="shared" si="97"/>
        <v>521910.01</v>
      </c>
    </row>
    <row r="230" spans="1:15" s="4" customFormat="1" ht="26.25" customHeight="1" outlineLevel="1" x14ac:dyDescent="0.2">
      <c r="A230" s="59" t="s">
        <v>537</v>
      </c>
      <c r="B230" s="159"/>
      <c r="C230" s="159" t="s">
        <v>527</v>
      </c>
      <c r="D230" s="24">
        <v>86.52</v>
      </c>
      <c r="E230" s="24"/>
      <c r="F230" s="24"/>
      <c r="G230" s="25"/>
      <c r="H230" s="26"/>
      <c r="I230" s="76"/>
      <c r="J230" s="2"/>
      <c r="K230" s="61">
        <f t="shared" si="95"/>
        <v>721682.18</v>
      </c>
      <c r="L230" s="61">
        <f t="shared" si="95"/>
        <v>0</v>
      </c>
      <c r="M230" s="61">
        <f t="shared" si="96"/>
        <v>0</v>
      </c>
      <c r="N230" s="61"/>
      <c r="O230" s="61">
        <f t="shared" si="97"/>
        <v>721682.18</v>
      </c>
    </row>
    <row r="231" spans="1:15" s="4" customFormat="1" ht="26.25" customHeight="1" outlineLevel="1" x14ac:dyDescent="0.2">
      <c r="A231" s="59" t="s">
        <v>538</v>
      </c>
      <c r="B231" s="159"/>
      <c r="C231" s="159" t="s">
        <v>528</v>
      </c>
      <c r="D231" s="24">
        <f>35.56-0.01</f>
        <v>35.549999999999997</v>
      </c>
      <c r="E231" s="24"/>
      <c r="F231" s="24"/>
      <c r="G231" s="25"/>
      <c r="H231" s="26"/>
      <c r="I231" s="76"/>
      <c r="J231" s="2"/>
      <c r="K231" s="61">
        <f t="shared" si="95"/>
        <v>296530.3</v>
      </c>
      <c r="L231" s="61">
        <f t="shared" si="95"/>
        <v>0</v>
      </c>
      <c r="M231" s="61">
        <f t="shared" si="96"/>
        <v>0</v>
      </c>
      <c r="N231" s="61"/>
      <c r="O231" s="61">
        <f t="shared" si="97"/>
        <v>296530.3</v>
      </c>
    </row>
    <row r="232" spans="1:15" s="4" customFormat="1" ht="26.25" customHeight="1" outlineLevel="1" x14ac:dyDescent="0.2">
      <c r="A232" s="59" t="s">
        <v>539</v>
      </c>
      <c r="B232" s="159"/>
      <c r="C232" s="159" t="s">
        <v>541</v>
      </c>
      <c r="D232" s="24">
        <v>329.88</v>
      </c>
      <c r="E232" s="24"/>
      <c r="F232" s="24"/>
      <c r="G232" s="25"/>
      <c r="H232" s="26"/>
      <c r="I232" s="76"/>
      <c r="J232" s="2"/>
      <c r="K232" s="61">
        <f t="shared" si="95"/>
        <v>2751600.99</v>
      </c>
      <c r="L232" s="61">
        <f t="shared" si="95"/>
        <v>0</v>
      </c>
      <c r="M232" s="61">
        <f t="shared" si="96"/>
        <v>0</v>
      </c>
      <c r="N232" s="61"/>
      <c r="O232" s="61">
        <f t="shared" si="97"/>
        <v>2751600.99</v>
      </c>
    </row>
    <row r="233" spans="1:15" s="4" customFormat="1" ht="26.25" customHeight="1" outlineLevel="1" x14ac:dyDescent="0.2">
      <c r="A233" s="59" t="s">
        <v>540</v>
      </c>
      <c r="B233" s="159"/>
      <c r="C233" s="159" t="s">
        <v>532</v>
      </c>
      <c r="D233" s="24">
        <v>22.72</v>
      </c>
      <c r="E233" s="24"/>
      <c r="F233" s="24"/>
      <c r="G233" s="25"/>
      <c r="H233" s="26"/>
      <c r="I233" s="76"/>
      <c r="J233" s="2"/>
      <c r="K233" s="61">
        <f t="shared" si="95"/>
        <v>189512.47</v>
      </c>
      <c r="L233" s="61">
        <f t="shared" si="95"/>
        <v>0</v>
      </c>
      <c r="M233" s="61">
        <f t="shared" si="96"/>
        <v>0</v>
      </c>
      <c r="N233" s="61"/>
      <c r="O233" s="61">
        <f t="shared" si="97"/>
        <v>189512.47</v>
      </c>
    </row>
    <row r="234" spans="1:15" s="4" customFormat="1" ht="30.75" customHeight="1" x14ac:dyDescent="0.2">
      <c r="A234" s="28"/>
      <c r="B234" s="673" t="s">
        <v>47</v>
      </c>
      <c r="C234" s="673"/>
      <c r="D234" s="24">
        <f>D41+D92+D141+D207+D215+D225</f>
        <v>87256.76</v>
      </c>
      <c r="E234" s="24">
        <f>E41+E92+E141+E207+E215+E225</f>
        <v>5285.59</v>
      </c>
      <c r="F234" s="24">
        <f>F41+F92+F141+F207+F215+F225</f>
        <v>7023.69</v>
      </c>
      <c r="G234" s="24"/>
      <c r="H234" s="57">
        <f>SUM(D234:G234)</f>
        <v>99566.04</v>
      </c>
      <c r="I234" s="77"/>
      <c r="J234" s="2"/>
      <c r="K234" s="69">
        <f>K41+K92+K141+K207+K215+K225</f>
        <v>727827657.11000001</v>
      </c>
      <c r="L234" s="69">
        <f>L41+L92+L141+L207+L215+L225</f>
        <v>44088283.5</v>
      </c>
      <c r="M234" s="69">
        <f>M41+M92+M141+M207+M215+M225</f>
        <v>28726892.100000001</v>
      </c>
      <c r="N234" s="69">
        <f>N41+N92+N141+N207+N215+N225</f>
        <v>0</v>
      </c>
      <c r="O234" s="69">
        <f>SUM(K234:N234)</f>
        <v>800642832.71000004</v>
      </c>
    </row>
    <row r="235" spans="1:15" s="4" customFormat="1" ht="12.75" customHeight="1" x14ac:dyDescent="0.2">
      <c r="A235" s="686" t="s">
        <v>48</v>
      </c>
      <c r="B235" s="687"/>
      <c r="C235" s="687"/>
      <c r="D235" s="687"/>
      <c r="E235" s="687"/>
      <c r="F235" s="687"/>
      <c r="G235" s="687"/>
      <c r="H235" s="688"/>
      <c r="I235" s="75"/>
      <c r="J235" s="2"/>
      <c r="K235" s="61"/>
      <c r="L235" s="61"/>
      <c r="M235" s="61">
        <f>F235*4.09*1000</f>
        <v>0</v>
      </c>
      <c r="N235" s="61"/>
      <c r="O235" s="61"/>
    </row>
    <row r="236" spans="1:15" s="58" customFormat="1" ht="30" customHeight="1" collapsed="1" x14ac:dyDescent="0.2">
      <c r="A236" s="295">
        <v>11</v>
      </c>
      <c r="B236" s="160" t="s">
        <v>49</v>
      </c>
      <c r="C236" s="160" t="s">
        <v>50</v>
      </c>
      <c r="D236" s="32">
        <f>SUM(D237:D239)</f>
        <v>1166.3800000000001</v>
      </c>
      <c r="E236" s="32">
        <f>SUM(E237:E239)</f>
        <v>79.45</v>
      </c>
      <c r="F236" s="32">
        <f>SUM(F237:F239)</f>
        <v>2558.35</v>
      </c>
      <c r="G236" s="47"/>
      <c r="H236" s="57">
        <f>D236+E236+F236+G236</f>
        <v>3804.18</v>
      </c>
      <c r="I236" s="77"/>
      <c r="J236" s="12"/>
      <c r="K236" s="69">
        <f t="shared" ref="K236:M236" si="98">SUM(K237:K239)</f>
        <v>6754760.8499999996</v>
      </c>
      <c r="L236" s="69">
        <f t="shared" si="98"/>
        <v>460112.27</v>
      </c>
      <c r="M236" s="69">
        <f t="shared" si="98"/>
        <v>10463651.5</v>
      </c>
      <c r="N236" s="69"/>
      <c r="O236" s="69">
        <f t="shared" ref="O236" si="99">SUM(K236:N236)</f>
        <v>17678524.620000001</v>
      </c>
    </row>
    <row r="237" spans="1:15" s="304" customFormat="1" ht="17.25" customHeight="1" outlineLevel="1" x14ac:dyDescent="0.2">
      <c r="A237" s="296" t="s">
        <v>542</v>
      </c>
      <c r="B237" s="297"/>
      <c r="C237" s="297" t="s">
        <v>374</v>
      </c>
      <c r="D237" s="298">
        <v>103.43</v>
      </c>
      <c r="E237" s="298">
        <v>32.299999999999997</v>
      </c>
      <c r="F237" s="298"/>
      <c r="G237" s="299"/>
      <c r="H237" s="300"/>
      <c r="I237" s="301"/>
      <c r="J237" s="302"/>
      <c r="K237" s="303">
        <f t="shared" ref="K237:L239" si="100">((D237*5.55)+(D237*2.3%+(D237+D237*2.3%)*1%-D237*2.3%*15%)*8.1)*1000</f>
        <v>598985.68000000005</v>
      </c>
      <c r="L237" s="303">
        <f t="shared" si="100"/>
        <v>187056.34</v>
      </c>
      <c r="M237" s="303">
        <f>F237*4.09*1000</f>
        <v>0</v>
      </c>
      <c r="N237" s="303"/>
      <c r="O237" s="303">
        <f t="shared" ref="O237:O239" si="101">SUM(K237:N237)</f>
        <v>786042.02</v>
      </c>
    </row>
    <row r="238" spans="1:15" s="304" customFormat="1" ht="17.25" customHeight="1" outlineLevel="1" x14ac:dyDescent="0.2">
      <c r="A238" s="296" t="s">
        <v>543</v>
      </c>
      <c r="B238" s="297"/>
      <c r="C238" s="297" t="s">
        <v>545</v>
      </c>
      <c r="D238" s="298">
        <v>1062.95</v>
      </c>
      <c r="E238" s="298">
        <v>41.65</v>
      </c>
      <c r="F238" s="298"/>
      <c r="G238" s="299"/>
      <c r="H238" s="300"/>
      <c r="I238" s="301"/>
      <c r="J238" s="302"/>
      <c r="K238" s="303">
        <f t="shared" si="100"/>
        <v>6155775.1699999999</v>
      </c>
      <c r="L238" s="303">
        <f t="shared" si="100"/>
        <v>241204.23</v>
      </c>
      <c r="M238" s="303">
        <f>F238*4.09*1000</f>
        <v>0</v>
      </c>
      <c r="N238" s="303"/>
      <c r="O238" s="303">
        <f t="shared" si="101"/>
        <v>6396979.4000000004</v>
      </c>
    </row>
    <row r="239" spans="1:15" s="304" customFormat="1" ht="17.25" customHeight="1" outlineLevel="1" x14ac:dyDescent="0.2">
      <c r="A239" s="296" t="s">
        <v>544</v>
      </c>
      <c r="B239" s="297"/>
      <c r="C239" s="297" t="s">
        <v>546</v>
      </c>
      <c r="D239" s="298"/>
      <c r="E239" s="298">
        <f>2563852/1000-F239</f>
        <v>5.5</v>
      </c>
      <c r="F239" s="298">
        <f>2558352/1000</f>
        <v>2558.35</v>
      </c>
      <c r="G239" s="299"/>
      <c r="H239" s="300"/>
      <c r="I239" s="301"/>
      <c r="J239" s="302"/>
      <c r="K239" s="303">
        <f t="shared" si="100"/>
        <v>0</v>
      </c>
      <c r="L239" s="303">
        <f t="shared" si="100"/>
        <v>31851.7</v>
      </c>
      <c r="M239" s="303">
        <f>F239*4.09*1000</f>
        <v>10463651.5</v>
      </c>
      <c r="N239" s="303"/>
      <c r="O239" s="303">
        <f t="shared" si="101"/>
        <v>10495503.199999999</v>
      </c>
    </row>
    <row r="240" spans="1:15" s="58" customFormat="1" ht="31.5" customHeight="1" x14ac:dyDescent="0.2">
      <c r="A240" s="63"/>
      <c r="B240" s="673" t="s">
        <v>51</v>
      </c>
      <c r="C240" s="673"/>
      <c r="D240" s="32">
        <f>D236</f>
        <v>1166.3800000000001</v>
      </c>
      <c r="E240" s="32">
        <f>E236</f>
        <v>79.45</v>
      </c>
      <c r="F240" s="32">
        <f>F236</f>
        <v>2558.35</v>
      </c>
      <c r="G240" s="32"/>
      <c r="H240" s="57">
        <f>H236</f>
        <v>3804.18</v>
      </c>
      <c r="I240" s="77"/>
      <c r="J240" s="12"/>
      <c r="K240" s="69">
        <f>K236</f>
        <v>6754760.8499999996</v>
      </c>
      <c r="L240" s="69">
        <f>L236</f>
        <v>460112.27</v>
      </c>
      <c r="M240" s="69">
        <f>M236</f>
        <v>10463651.5</v>
      </c>
      <c r="N240" s="69">
        <f>N236</f>
        <v>0</v>
      </c>
      <c r="O240" s="69">
        <f>O236</f>
        <v>17678524.620000001</v>
      </c>
    </row>
    <row r="241" spans="1:15" s="4" customFormat="1" ht="12.75" customHeight="1" x14ac:dyDescent="0.2">
      <c r="A241" s="686" t="s">
        <v>52</v>
      </c>
      <c r="B241" s="687"/>
      <c r="C241" s="687"/>
      <c r="D241" s="687"/>
      <c r="E241" s="687"/>
      <c r="F241" s="687"/>
      <c r="G241" s="687"/>
      <c r="H241" s="688"/>
      <c r="I241" s="75"/>
      <c r="J241" s="2"/>
      <c r="K241" s="61"/>
      <c r="L241" s="61"/>
      <c r="M241" s="61"/>
      <c r="N241" s="61"/>
      <c r="O241" s="61"/>
    </row>
    <row r="242" spans="1:15" s="58" customFormat="1" x14ac:dyDescent="0.2">
      <c r="A242" s="56">
        <v>12</v>
      </c>
      <c r="B242" s="160" t="s">
        <v>53</v>
      </c>
      <c r="C242" s="160" t="s">
        <v>54</v>
      </c>
      <c r="D242" s="32">
        <f>D243+D252</f>
        <v>1542.92</v>
      </c>
      <c r="E242" s="32">
        <f t="shared" ref="E242:G242" si="102">E243+E252</f>
        <v>77.03</v>
      </c>
      <c r="F242" s="32">
        <f t="shared" si="102"/>
        <v>4690.95</v>
      </c>
      <c r="G242" s="32">
        <f t="shared" si="102"/>
        <v>0</v>
      </c>
      <c r="H242" s="32">
        <f>SUM(D242:G242)</f>
        <v>6310.9</v>
      </c>
      <c r="I242" s="77"/>
      <c r="J242" s="12"/>
      <c r="K242" s="69">
        <f t="shared" ref="K242:M242" si="103">K243+K252</f>
        <v>12869832.08</v>
      </c>
      <c r="L242" s="69">
        <f t="shared" si="103"/>
        <v>642524.02</v>
      </c>
      <c r="M242" s="69">
        <f t="shared" si="103"/>
        <v>19185985.5</v>
      </c>
      <c r="N242" s="69">
        <f>SUM(N243:N252)</f>
        <v>0</v>
      </c>
      <c r="O242" s="69">
        <f>SUM(K242:N242)</f>
        <v>32698341.600000001</v>
      </c>
    </row>
    <row r="243" spans="1:15" s="4" customFormat="1" ht="12" customHeight="1" x14ac:dyDescent="0.2">
      <c r="A243" s="59" t="s">
        <v>341</v>
      </c>
      <c r="B243" s="159" t="s">
        <v>335</v>
      </c>
      <c r="C243" s="159" t="s">
        <v>54</v>
      </c>
      <c r="D243" s="24">
        <f>SUM(D244:D251)</f>
        <v>707.84</v>
      </c>
      <c r="E243" s="24">
        <f>SUM(E244:E251)</f>
        <v>77.03</v>
      </c>
      <c r="F243" s="24">
        <f>SUM(F244:F251)</f>
        <v>4690.95</v>
      </c>
      <c r="G243" s="25"/>
      <c r="H243" s="26">
        <f t="shared" ref="H243:H252" si="104">SUM(D243:G243)</f>
        <v>5475.82</v>
      </c>
      <c r="I243" s="76"/>
      <c r="J243" s="2"/>
      <c r="K243" s="24">
        <f>SUM(K244:K251)</f>
        <v>5904247.75</v>
      </c>
      <c r="L243" s="24">
        <f>SUM(L244:L251)</f>
        <v>642524.02</v>
      </c>
      <c r="M243" s="61">
        <f>SUM(M244:M251)</f>
        <v>19185985.5</v>
      </c>
      <c r="N243" s="61"/>
      <c r="O243" s="61">
        <f t="shared" ref="O243:O252" si="105">SUM(K243:N243)</f>
        <v>25732757.27</v>
      </c>
    </row>
    <row r="244" spans="1:15" s="304" customFormat="1" ht="17.25" customHeight="1" outlineLevel="1" x14ac:dyDescent="0.2">
      <c r="A244" s="296" t="s">
        <v>870</v>
      </c>
      <c r="B244" s="297"/>
      <c r="C244" s="297" t="s">
        <v>374</v>
      </c>
      <c r="D244" s="298">
        <f>96.71</f>
        <v>96.71</v>
      </c>
      <c r="E244" s="298"/>
      <c r="F244" s="298"/>
      <c r="G244" s="299"/>
      <c r="H244" s="300">
        <f t="shared" si="104"/>
        <v>96.71</v>
      </c>
      <c r="I244" s="301"/>
      <c r="J244" s="302"/>
      <c r="K244" s="303">
        <f t="shared" ref="K244:K252" si="106">((D244)*1.023*1.01-(D244)*0.023*0.15)*8.1*1000</f>
        <v>806679.19</v>
      </c>
      <c r="L244" s="303">
        <f t="shared" ref="L244:L251" si="107">((E244)*1.023*1.01-(E244)*0.023*0.15)*8.1*1000</f>
        <v>0</v>
      </c>
      <c r="M244" s="303">
        <f t="shared" ref="M244:M251" si="108">F244*4.09*1000</f>
        <v>0</v>
      </c>
      <c r="N244" s="303"/>
      <c r="O244" s="303">
        <f t="shared" si="105"/>
        <v>806679.19</v>
      </c>
    </row>
    <row r="245" spans="1:15" s="304" customFormat="1" ht="17.25" customHeight="1" outlineLevel="1" x14ac:dyDescent="0.2">
      <c r="A245" s="296" t="s">
        <v>871</v>
      </c>
      <c r="B245" s="297"/>
      <c r="C245" s="297" t="s">
        <v>547</v>
      </c>
      <c r="D245" s="298">
        <f>493.52</f>
        <v>493.52</v>
      </c>
      <c r="E245" s="298"/>
      <c r="F245" s="298"/>
      <c r="G245" s="299"/>
      <c r="H245" s="300">
        <f t="shared" si="104"/>
        <v>493.52</v>
      </c>
      <c r="I245" s="301"/>
      <c r="J245" s="302"/>
      <c r="K245" s="303">
        <f t="shared" si="106"/>
        <v>4116557.91</v>
      </c>
      <c r="L245" s="303">
        <f t="shared" si="107"/>
        <v>0</v>
      </c>
      <c r="M245" s="303">
        <f t="shared" si="108"/>
        <v>0</v>
      </c>
      <c r="N245" s="303"/>
      <c r="O245" s="303">
        <f t="shared" si="105"/>
        <v>4116557.91</v>
      </c>
    </row>
    <row r="246" spans="1:15" s="304" customFormat="1" ht="17.25" customHeight="1" outlineLevel="1" x14ac:dyDescent="0.2">
      <c r="A246" s="296" t="s">
        <v>872</v>
      </c>
      <c r="B246" s="297"/>
      <c r="C246" s="297" t="s">
        <v>548</v>
      </c>
      <c r="D246" s="298">
        <f>1.973</f>
        <v>1.97</v>
      </c>
      <c r="E246" s="298">
        <f>2.613</f>
        <v>2.61</v>
      </c>
      <c r="F246" s="298"/>
      <c r="G246" s="299"/>
      <c r="H246" s="300">
        <f t="shared" si="104"/>
        <v>4.58</v>
      </c>
      <c r="I246" s="301"/>
      <c r="J246" s="302"/>
      <c r="K246" s="303">
        <f t="shared" si="106"/>
        <v>16432.2</v>
      </c>
      <c r="L246" s="303">
        <f t="shared" si="107"/>
        <v>21770.58</v>
      </c>
      <c r="M246" s="303">
        <f t="shared" si="108"/>
        <v>0</v>
      </c>
      <c r="N246" s="303"/>
      <c r="O246" s="303">
        <f t="shared" si="105"/>
        <v>38202.78</v>
      </c>
    </row>
    <row r="247" spans="1:15" s="304" customFormat="1" ht="17.25" customHeight="1" outlineLevel="1" x14ac:dyDescent="0.2">
      <c r="A247" s="296" t="s">
        <v>873</v>
      </c>
      <c r="B247" s="297"/>
      <c r="C247" s="297" t="s">
        <v>545</v>
      </c>
      <c r="D247" s="298">
        <f>67.036+4.2</f>
        <v>71.239999999999995</v>
      </c>
      <c r="E247" s="298">
        <f>35.593+3.03</f>
        <v>38.619999999999997</v>
      </c>
      <c r="F247" s="298"/>
      <c r="G247" s="299"/>
      <c r="H247" s="300">
        <f t="shared" si="104"/>
        <v>109.86</v>
      </c>
      <c r="I247" s="301"/>
      <c r="J247" s="302"/>
      <c r="K247" s="303">
        <f t="shared" si="106"/>
        <v>594228.37</v>
      </c>
      <c r="L247" s="303">
        <f t="shared" si="107"/>
        <v>322137.84000000003</v>
      </c>
      <c r="M247" s="303">
        <f t="shared" si="108"/>
        <v>0</v>
      </c>
      <c r="N247" s="303"/>
      <c r="O247" s="303">
        <f t="shared" si="105"/>
        <v>916366.21</v>
      </c>
    </row>
    <row r="248" spans="1:15" s="304" customFormat="1" ht="17.25" customHeight="1" outlineLevel="1" x14ac:dyDescent="0.2">
      <c r="A248" s="296" t="s">
        <v>874</v>
      </c>
      <c r="B248" s="297"/>
      <c r="C248" s="297" t="s">
        <v>549</v>
      </c>
      <c r="D248" s="298"/>
      <c r="E248" s="298">
        <f>3.199</f>
        <v>3.2</v>
      </c>
      <c r="F248" s="298"/>
      <c r="G248" s="299"/>
      <c r="H248" s="300">
        <f t="shared" si="104"/>
        <v>3.2</v>
      </c>
      <c r="I248" s="301"/>
      <c r="J248" s="302"/>
      <c r="K248" s="303">
        <f t="shared" si="106"/>
        <v>0</v>
      </c>
      <c r="L248" s="303">
        <f t="shared" si="107"/>
        <v>26691.9</v>
      </c>
      <c r="M248" s="303">
        <f t="shared" si="108"/>
        <v>0</v>
      </c>
      <c r="N248" s="303"/>
      <c r="O248" s="303">
        <f t="shared" si="105"/>
        <v>26691.9</v>
      </c>
    </row>
    <row r="249" spans="1:15" s="304" customFormat="1" ht="17.25" customHeight="1" outlineLevel="1" x14ac:dyDescent="0.2">
      <c r="A249" s="296" t="s">
        <v>875</v>
      </c>
      <c r="B249" s="297"/>
      <c r="C249" s="297" t="s">
        <v>550</v>
      </c>
      <c r="D249" s="298"/>
      <c r="E249" s="298">
        <f>21.722+0.078</f>
        <v>21.8</v>
      </c>
      <c r="F249" s="298">
        <f>4432.619+0.01</f>
        <v>4432.63</v>
      </c>
      <c r="G249" s="299"/>
      <c r="H249" s="300">
        <f t="shared" si="104"/>
        <v>4454.43</v>
      </c>
      <c r="I249" s="301"/>
      <c r="J249" s="302"/>
      <c r="K249" s="303">
        <f t="shared" si="106"/>
        <v>0</v>
      </c>
      <c r="L249" s="303">
        <f>((E249)*1.023*1.01-(E249)*0.023*0.15)*8.1*1000-0.01</f>
        <v>181838.54</v>
      </c>
      <c r="M249" s="303">
        <f t="shared" si="108"/>
        <v>18129456.699999999</v>
      </c>
      <c r="N249" s="303"/>
      <c r="O249" s="303">
        <f t="shared" si="105"/>
        <v>18311295.239999998</v>
      </c>
    </row>
    <row r="250" spans="1:15" s="304" customFormat="1" ht="17.25" customHeight="1" outlineLevel="1" x14ac:dyDescent="0.2">
      <c r="A250" s="296" t="s">
        <v>876</v>
      </c>
      <c r="B250" s="297"/>
      <c r="C250" s="297" t="s">
        <v>551</v>
      </c>
      <c r="D250" s="298">
        <f>22.203</f>
        <v>22.2</v>
      </c>
      <c r="E250" s="298">
        <f>5.369+0.031</f>
        <v>5.4</v>
      </c>
      <c r="F250" s="298">
        <f>129.163</f>
        <v>129.16</v>
      </c>
      <c r="G250" s="299"/>
      <c r="H250" s="300">
        <f t="shared" si="104"/>
        <v>156.76</v>
      </c>
      <c r="I250" s="301"/>
      <c r="J250" s="302"/>
      <c r="K250" s="303">
        <f t="shared" si="106"/>
        <v>185175.04000000001</v>
      </c>
      <c r="L250" s="303">
        <f t="shared" si="107"/>
        <v>45042.58</v>
      </c>
      <c r="M250" s="303">
        <f t="shared" si="108"/>
        <v>528264.4</v>
      </c>
      <c r="N250" s="303"/>
      <c r="O250" s="303">
        <f t="shared" si="105"/>
        <v>758482.02</v>
      </c>
    </row>
    <row r="251" spans="1:15" s="304" customFormat="1" ht="17.25" customHeight="1" outlineLevel="1" x14ac:dyDescent="0.2">
      <c r="A251" s="296" t="s">
        <v>877</v>
      </c>
      <c r="B251" s="297"/>
      <c r="C251" s="297" t="s">
        <v>552</v>
      </c>
      <c r="D251" s="298">
        <f>22.203</f>
        <v>22.2</v>
      </c>
      <c r="E251" s="298">
        <f>5.369+0.031</f>
        <v>5.4</v>
      </c>
      <c r="F251" s="298">
        <f>129.163</f>
        <v>129.16</v>
      </c>
      <c r="G251" s="299"/>
      <c r="H251" s="300">
        <f t="shared" si="104"/>
        <v>156.76</v>
      </c>
      <c r="I251" s="301"/>
      <c r="J251" s="302"/>
      <c r="K251" s="303">
        <f t="shared" si="106"/>
        <v>185175.04000000001</v>
      </c>
      <c r="L251" s="303">
        <f t="shared" si="107"/>
        <v>45042.58</v>
      </c>
      <c r="M251" s="303">
        <f t="shared" si="108"/>
        <v>528264.4</v>
      </c>
      <c r="N251" s="303"/>
      <c r="O251" s="303">
        <f t="shared" si="105"/>
        <v>758482.02</v>
      </c>
    </row>
    <row r="252" spans="1:15" s="4" customFormat="1" ht="25.5" x14ac:dyDescent="0.2">
      <c r="A252" s="59" t="s">
        <v>342</v>
      </c>
      <c r="B252" s="159" t="s">
        <v>336</v>
      </c>
      <c r="C252" s="159" t="s">
        <v>337</v>
      </c>
      <c r="D252" s="24">
        <v>835.08</v>
      </c>
      <c r="E252" s="24"/>
      <c r="F252" s="24"/>
      <c r="G252" s="25"/>
      <c r="H252" s="26">
        <f t="shared" si="104"/>
        <v>835.08</v>
      </c>
      <c r="I252" s="76"/>
      <c r="J252" s="2"/>
      <c r="K252" s="61">
        <f t="shared" si="106"/>
        <v>6965584.3300000001</v>
      </c>
      <c r="L252" s="61"/>
      <c r="M252" s="61"/>
      <c r="N252" s="61"/>
      <c r="O252" s="61">
        <f t="shared" si="105"/>
        <v>6965584.3300000001</v>
      </c>
    </row>
    <row r="253" spans="1:15" s="58" customFormat="1" ht="27.95" customHeight="1" x14ac:dyDescent="0.2">
      <c r="A253" s="63"/>
      <c r="B253" s="673" t="s">
        <v>55</v>
      </c>
      <c r="C253" s="673"/>
      <c r="D253" s="32">
        <f>D242</f>
        <v>1542.92</v>
      </c>
      <c r="E253" s="32">
        <f>E242</f>
        <v>77.03</v>
      </c>
      <c r="F253" s="32">
        <f>F242</f>
        <v>4690.95</v>
      </c>
      <c r="G253" s="32"/>
      <c r="H253" s="57">
        <f>H242</f>
        <v>6310.9</v>
      </c>
      <c r="I253" s="77"/>
      <c r="J253" s="12"/>
      <c r="K253" s="69">
        <f>K242</f>
        <v>12869832.08</v>
      </c>
      <c r="L253" s="69">
        <f t="shared" ref="L253:O253" si="109">L242</f>
        <v>642524.02</v>
      </c>
      <c r="M253" s="69">
        <f t="shared" si="109"/>
        <v>19185985.5</v>
      </c>
      <c r="N253" s="69">
        <f t="shared" si="109"/>
        <v>0</v>
      </c>
      <c r="O253" s="69">
        <f t="shared" si="109"/>
        <v>32698341.600000001</v>
      </c>
    </row>
    <row r="254" spans="1:15" s="4" customFormat="1" ht="12.75" customHeight="1" x14ac:dyDescent="0.2">
      <c r="A254" s="686" t="s">
        <v>56</v>
      </c>
      <c r="B254" s="687"/>
      <c r="C254" s="687"/>
      <c r="D254" s="687"/>
      <c r="E254" s="687"/>
      <c r="F254" s="687"/>
      <c r="G254" s="687"/>
      <c r="H254" s="688"/>
      <c r="I254" s="75"/>
      <c r="J254" s="2"/>
      <c r="K254" s="61"/>
      <c r="L254" s="61"/>
      <c r="M254" s="61"/>
      <c r="N254" s="61"/>
      <c r="O254" s="61"/>
    </row>
    <row r="255" spans="1:15" s="159" customFormat="1" ht="29.25" customHeight="1" x14ac:dyDescent="0.2">
      <c r="A255" s="305">
        <v>13</v>
      </c>
      <c r="B255" s="159" t="s">
        <v>57</v>
      </c>
      <c r="C255" s="159" t="s">
        <v>58</v>
      </c>
      <c r="D255" s="306">
        <f>SUM(D256:D260)</f>
        <v>1387.33</v>
      </c>
      <c r="E255" s="306">
        <f t="shared" ref="E255:F255" si="110">SUM(E256:E260)</f>
        <v>9.41</v>
      </c>
      <c r="F255" s="306">
        <f t="shared" si="110"/>
        <v>0</v>
      </c>
      <c r="G255" s="40"/>
      <c r="H255" s="40">
        <f>D255+E255+F255+G255</f>
        <v>1396.74</v>
      </c>
      <c r="I255" s="40"/>
      <c r="J255" s="161"/>
      <c r="K255" s="307">
        <f>SUM(K256:K260)</f>
        <v>12792872.359999999</v>
      </c>
      <c r="L255" s="307">
        <f>SUM(L256:L260)</f>
        <v>86771.66</v>
      </c>
      <c r="M255" s="307">
        <f>SUM(M256:M260)</f>
        <v>0</v>
      </c>
      <c r="N255" s="307"/>
      <c r="O255" s="307">
        <f>SUM(K255:N255)</f>
        <v>12879644.02</v>
      </c>
    </row>
    <row r="256" spans="1:15" s="304" customFormat="1" ht="17.25" customHeight="1" outlineLevel="1" x14ac:dyDescent="0.2">
      <c r="A256" s="296" t="s">
        <v>553</v>
      </c>
      <c r="B256" s="297"/>
      <c r="C256" s="297" t="s">
        <v>374</v>
      </c>
      <c r="D256" s="298">
        <v>119.79</v>
      </c>
      <c r="E256" s="298"/>
      <c r="F256" s="298"/>
      <c r="G256" s="299"/>
      <c r="H256" s="300"/>
      <c r="I256" s="301"/>
      <c r="J256" s="302"/>
      <c r="K256" s="308">
        <f t="shared" ref="K256:L260" si="111">((D256*8.98)+(D256*2.3%+(D256+D256*2.3%)*1%-D256*2.3%*15%)*8.1)*1000</f>
        <v>1104609.7</v>
      </c>
      <c r="L256" s="308">
        <f t="shared" si="111"/>
        <v>0</v>
      </c>
      <c r="M256" s="309">
        <f t="shared" ref="M256:M260" si="112">F256*4.09*1000</f>
        <v>0</v>
      </c>
      <c r="N256" s="308"/>
      <c r="O256" s="308">
        <f t="shared" ref="O256:O273" si="113">SUM(K256:N256)</f>
        <v>1104609.7</v>
      </c>
    </row>
    <row r="257" spans="1:15" s="304" customFormat="1" ht="17.25" customHeight="1" outlineLevel="1" x14ac:dyDescent="0.2">
      <c r="A257" s="296" t="s">
        <v>554</v>
      </c>
      <c r="B257" s="297"/>
      <c r="C257" s="297" t="s">
        <v>556</v>
      </c>
      <c r="D257" s="298">
        <v>525.82000000000005</v>
      </c>
      <c r="E257" s="298"/>
      <c r="F257" s="298"/>
      <c r="G257" s="299"/>
      <c r="H257" s="300"/>
      <c r="I257" s="301"/>
      <c r="J257" s="302"/>
      <c r="K257" s="308">
        <f t="shared" si="111"/>
        <v>4848700.8499999996</v>
      </c>
      <c r="L257" s="308">
        <f t="shared" si="111"/>
        <v>0</v>
      </c>
      <c r="M257" s="309">
        <f t="shared" si="112"/>
        <v>0</v>
      </c>
      <c r="N257" s="308"/>
      <c r="O257" s="308">
        <f t="shared" si="113"/>
        <v>4848700.8499999996</v>
      </c>
    </row>
    <row r="258" spans="1:15" s="304" customFormat="1" ht="17.25" customHeight="1" outlineLevel="1" x14ac:dyDescent="0.2">
      <c r="A258" s="296" t="s">
        <v>555</v>
      </c>
      <c r="B258" s="297"/>
      <c r="C258" s="297" t="s">
        <v>557</v>
      </c>
      <c r="D258" s="298">
        <f>741.42+0.01</f>
        <v>741.43</v>
      </c>
      <c r="E258" s="298"/>
      <c r="F258" s="298"/>
      <c r="G258" s="299"/>
      <c r="H258" s="300"/>
      <c r="I258" s="301"/>
      <c r="J258" s="302"/>
      <c r="K258" s="308">
        <f t="shared" si="111"/>
        <v>6836887.6600000001</v>
      </c>
      <c r="L258" s="308">
        <f t="shared" si="111"/>
        <v>0</v>
      </c>
      <c r="M258" s="309">
        <f t="shared" si="112"/>
        <v>0</v>
      </c>
      <c r="N258" s="308"/>
      <c r="O258" s="308">
        <f t="shared" si="113"/>
        <v>6836887.6600000001</v>
      </c>
    </row>
    <row r="259" spans="1:15" s="304" customFormat="1" ht="17.25" customHeight="1" outlineLevel="1" x14ac:dyDescent="0.2">
      <c r="A259" s="296" t="s">
        <v>559</v>
      </c>
      <c r="B259" s="297"/>
      <c r="C259" s="297" t="s">
        <v>558</v>
      </c>
      <c r="D259" s="298"/>
      <c r="E259" s="298">
        <v>9.41</v>
      </c>
      <c r="F259" s="298"/>
      <c r="G259" s="299"/>
      <c r="H259" s="300"/>
      <c r="I259" s="301"/>
      <c r="J259" s="302"/>
      <c r="K259" s="308">
        <f t="shared" si="111"/>
        <v>0</v>
      </c>
      <c r="L259" s="308">
        <f t="shared" si="111"/>
        <v>86771.66</v>
      </c>
      <c r="M259" s="309">
        <f t="shared" si="112"/>
        <v>0</v>
      </c>
      <c r="N259" s="308"/>
      <c r="O259" s="308">
        <f t="shared" si="113"/>
        <v>86771.66</v>
      </c>
    </row>
    <row r="260" spans="1:15" s="304" customFormat="1" ht="33.75" customHeight="1" outlineLevel="1" x14ac:dyDescent="0.2">
      <c r="A260" s="296" t="s">
        <v>560</v>
      </c>
      <c r="B260" s="297"/>
      <c r="C260" s="297" t="s">
        <v>532</v>
      </c>
      <c r="D260" s="298">
        <v>0.28999999999999998</v>
      </c>
      <c r="E260" s="298"/>
      <c r="F260" s="298"/>
      <c r="G260" s="299"/>
      <c r="H260" s="300"/>
      <c r="I260" s="301"/>
      <c r="J260" s="302"/>
      <c r="K260" s="308">
        <f t="shared" si="111"/>
        <v>2674.15</v>
      </c>
      <c r="L260" s="308">
        <f t="shared" si="111"/>
        <v>0</v>
      </c>
      <c r="M260" s="309">
        <f t="shared" si="112"/>
        <v>0</v>
      </c>
      <c r="N260" s="308"/>
      <c r="O260" s="308">
        <f t="shared" si="113"/>
        <v>2674.15</v>
      </c>
    </row>
    <row r="261" spans="1:15" s="159" customFormat="1" ht="29.25" customHeight="1" x14ac:dyDescent="0.2">
      <c r="A261" s="310">
        <v>14</v>
      </c>
      <c r="B261" s="159" t="s">
        <v>59</v>
      </c>
      <c r="C261" s="159" t="s">
        <v>60</v>
      </c>
      <c r="D261" s="306">
        <f>SUM(D262:D267)</f>
        <v>1857.64</v>
      </c>
      <c r="E261" s="306">
        <f t="shared" ref="E261:F261" si="114">SUM(E262:E267)</f>
        <v>3.8</v>
      </c>
      <c r="F261" s="306">
        <f t="shared" si="114"/>
        <v>6501.21</v>
      </c>
      <c r="G261" s="40"/>
      <c r="H261" s="40">
        <f t="shared" ref="H261:H268" si="115">D261+E261+F261+G261</f>
        <v>8362.65</v>
      </c>
      <c r="I261" s="40"/>
      <c r="J261" s="161"/>
      <c r="K261" s="307">
        <f>SUM(K262:K267)</f>
        <v>11575359.810000001</v>
      </c>
      <c r="L261" s="307">
        <f>SUM(L262:L267)</f>
        <v>23678.63</v>
      </c>
      <c r="M261" s="307">
        <f>SUM(M262:M267)</f>
        <v>26589948.899999999</v>
      </c>
      <c r="N261" s="307"/>
      <c r="O261" s="307">
        <f t="shared" ref="O261" si="116">SUM(K261:N261)</f>
        <v>38188987.340000004</v>
      </c>
    </row>
    <row r="262" spans="1:15" s="304" customFormat="1" ht="17.25" customHeight="1" outlineLevel="1" x14ac:dyDescent="0.2">
      <c r="A262" s="296" t="s">
        <v>562</v>
      </c>
      <c r="B262" s="297"/>
      <c r="C262" s="297" t="s">
        <v>374</v>
      </c>
      <c r="D262" s="298">
        <v>167.07</v>
      </c>
      <c r="E262" s="298"/>
      <c r="F262" s="298"/>
      <c r="G262" s="299"/>
      <c r="H262" s="300"/>
      <c r="I262" s="301"/>
      <c r="J262" s="302"/>
      <c r="K262" s="308">
        <f t="shared" ref="K262:L267" si="117">((D262*5.99)+(D262*2.3%+(D262+D262*2.3%)*1%-D262*2.3%*15%)*8.1)*1000</f>
        <v>1041049.59</v>
      </c>
      <c r="L262" s="308">
        <f t="shared" si="117"/>
        <v>0</v>
      </c>
      <c r="M262" s="308">
        <f t="shared" ref="M262:M267" si="118">F262*4.09*1000</f>
        <v>0</v>
      </c>
      <c r="N262" s="303"/>
      <c r="O262" s="308">
        <f t="shared" si="113"/>
        <v>1041049.59</v>
      </c>
    </row>
    <row r="263" spans="1:15" s="304" customFormat="1" ht="17.25" customHeight="1" outlineLevel="1" x14ac:dyDescent="0.2">
      <c r="A263" s="296" t="s">
        <v>563</v>
      </c>
      <c r="B263" s="297"/>
      <c r="C263" s="297" t="s">
        <v>556</v>
      </c>
      <c r="D263" s="298">
        <v>265.29000000000002</v>
      </c>
      <c r="E263" s="298"/>
      <c r="F263" s="298"/>
      <c r="G263" s="299"/>
      <c r="H263" s="300"/>
      <c r="I263" s="301"/>
      <c r="J263" s="302"/>
      <c r="K263" s="308">
        <f t="shared" si="117"/>
        <v>1653079.82</v>
      </c>
      <c r="L263" s="308">
        <f t="shared" si="117"/>
        <v>0</v>
      </c>
      <c r="M263" s="308">
        <f t="shared" si="118"/>
        <v>0</v>
      </c>
      <c r="N263" s="303"/>
      <c r="O263" s="308">
        <f t="shared" si="113"/>
        <v>1653079.82</v>
      </c>
    </row>
    <row r="264" spans="1:15" s="304" customFormat="1" ht="17.25" customHeight="1" outlineLevel="1" x14ac:dyDescent="0.2">
      <c r="A264" s="296" t="s">
        <v>564</v>
      </c>
      <c r="B264" s="297"/>
      <c r="C264" s="297" t="s">
        <v>566</v>
      </c>
      <c r="D264" s="298">
        <f>1112.48-0.02</f>
        <v>1112.46</v>
      </c>
      <c r="E264" s="298"/>
      <c r="F264" s="298"/>
      <c r="G264" s="299"/>
      <c r="H264" s="300"/>
      <c r="I264" s="301"/>
      <c r="J264" s="302"/>
      <c r="K264" s="308">
        <f t="shared" si="117"/>
        <v>6931980.7800000003</v>
      </c>
      <c r="L264" s="308">
        <f t="shared" si="117"/>
        <v>0</v>
      </c>
      <c r="M264" s="308">
        <f t="shared" si="118"/>
        <v>0</v>
      </c>
      <c r="N264" s="303"/>
      <c r="O264" s="308">
        <f t="shared" si="113"/>
        <v>6931980.7800000003</v>
      </c>
    </row>
    <row r="265" spans="1:15" s="304" customFormat="1" ht="17.25" customHeight="1" outlineLevel="1" x14ac:dyDescent="0.2">
      <c r="A265" s="296" t="s">
        <v>565</v>
      </c>
      <c r="B265" s="297"/>
      <c r="C265" s="297" t="s">
        <v>569</v>
      </c>
      <c r="D265" s="298">
        <f>40.791-E265-F265</f>
        <v>2.4300000000000002</v>
      </c>
      <c r="E265" s="298">
        <v>1.33</v>
      </c>
      <c r="F265" s="298">
        <v>37.03</v>
      </c>
      <c r="G265" s="299"/>
      <c r="H265" s="300"/>
      <c r="I265" s="301"/>
      <c r="J265" s="302"/>
      <c r="K265" s="308">
        <f t="shared" si="117"/>
        <v>15141.86</v>
      </c>
      <c r="L265" s="308">
        <f t="shared" si="117"/>
        <v>8287.52</v>
      </c>
      <c r="M265" s="308">
        <f t="shared" si="118"/>
        <v>151452.70000000001</v>
      </c>
      <c r="N265" s="303"/>
      <c r="O265" s="308">
        <f t="shared" si="113"/>
        <v>174882.08</v>
      </c>
    </row>
    <row r="266" spans="1:15" s="304" customFormat="1" ht="17.25" customHeight="1" outlineLevel="1" x14ac:dyDescent="0.2">
      <c r="A266" s="296" t="s">
        <v>567</v>
      </c>
      <c r="B266" s="297"/>
      <c r="C266" s="297" t="s">
        <v>570</v>
      </c>
      <c r="D266" s="298">
        <f>6737.702-E266-F266</f>
        <v>271.05</v>
      </c>
      <c r="E266" s="298">
        <v>2.4700000000000002</v>
      </c>
      <c r="F266" s="298">
        <v>6464.18</v>
      </c>
      <c r="G266" s="299"/>
      <c r="H266" s="300"/>
      <c r="I266" s="301"/>
      <c r="J266" s="302"/>
      <c r="K266" s="308">
        <f t="shared" si="117"/>
        <v>1688971.64</v>
      </c>
      <c r="L266" s="308">
        <f t="shared" si="117"/>
        <v>15391.11</v>
      </c>
      <c r="M266" s="308">
        <f t="shared" si="118"/>
        <v>26438496.199999999</v>
      </c>
      <c r="N266" s="303"/>
      <c r="O266" s="308">
        <f t="shared" si="113"/>
        <v>28142858.949999999</v>
      </c>
    </row>
    <row r="267" spans="1:15" s="304" customFormat="1" ht="28.5" customHeight="1" outlineLevel="1" x14ac:dyDescent="0.2">
      <c r="A267" s="296" t="s">
        <v>568</v>
      </c>
      <c r="B267" s="297"/>
      <c r="C267" s="297" t="s">
        <v>532</v>
      </c>
      <c r="D267" s="298">
        <v>39.340000000000003</v>
      </c>
      <c r="E267" s="298"/>
      <c r="F267" s="298"/>
      <c r="G267" s="299"/>
      <c r="H267" s="300"/>
      <c r="I267" s="301"/>
      <c r="J267" s="302"/>
      <c r="K267" s="308">
        <f t="shared" si="117"/>
        <v>245136.12</v>
      </c>
      <c r="L267" s="308">
        <f t="shared" si="117"/>
        <v>0</v>
      </c>
      <c r="M267" s="308">
        <f t="shared" si="118"/>
        <v>0</v>
      </c>
      <c r="N267" s="303"/>
      <c r="O267" s="308">
        <f t="shared" si="113"/>
        <v>245136.12</v>
      </c>
    </row>
    <row r="268" spans="1:15" s="159" customFormat="1" ht="30.75" customHeight="1" x14ac:dyDescent="0.2">
      <c r="A268" s="310">
        <v>15</v>
      </c>
      <c r="B268" s="159" t="s">
        <v>61</v>
      </c>
      <c r="C268" s="159" t="s">
        <v>62</v>
      </c>
      <c r="D268" s="306">
        <f>SUM(D269:D273)</f>
        <v>451.26</v>
      </c>
      <c r="E268" s="306"/>
      <c r="F268" s="306"/>
      <c r="G268" s="40"/>
      <c r="H268" s="40">
        <f t="shared" si="115"/>
        <v>451.26</v>
      </c>
      <c r="I268" s="40"/>
      <c r="J268" s="161"/>
      <c r="K268" s="307">
        <f>SUM(K269:K273)</f>
        <v>3714419.43</v>
      </c>
      <c r="L268" s="307">
        <f t="shared" ref="L268:M268" si="119">SUM(L269:L273)</f>
        <v>0</v>
      </c>
      <c r="M268" s="307">
        <f t="shared" si="119"/>
        <v>0</v>
      </c>
      <c r="N268" s="307"/>
      <c r="O268" s="307">
        <f t="shared" ref="O268" si="120">SUM(O269:O273)</f>
        <v>3714419.43</v>
      </c>
    </row>
    <row r="269" spans="1:15" s="304" customFormat="1" ht="17.25" customHeight="1" outlineLevel="1" x14ac:dyDescent="0.2">
      <c r="A269" s="296" t="s">
        <v>571</v>
      </c>
      <c r="B269" s="297"/>
      <c r="C269" s="297" t="s">
        <v>374</v>
      </c>
      <c r="D269" s="298">
        <v>91.88</v>
      </c>
      <c r="E269" s="298"/>
      <c r="F269" s="298"/>
      <c r="G269" s="299"/>
      <c r="H269" s="300"/>
      <c r="I269" s="301"/>
      <c r="J269" s="302"/>
      <c r="K269" s="308">
        <f t="shared" ref="K269:L273" si="121">((D269*7.99)+(D269*2.3%+(D269+D269*2.3%)*1%-D269*2.3%*15%)*8.1)*1000</f>
        <v>756284.31</v>
      </c>
      <c r="L269" s="308">
        <f t="shared" si="121"/>
        <v>0</v>
      </c>
      <c r="M269" s="308"/>
      <c r="N269" s="308"/>
      <c r="O269" s="308">
        <f t="shared" si="113"/>
        <v>756284.31</v>
      </c>
    </row>
    <row r="270" spans="1:15" s="304" customFormat="1" ht="17.25" customHeight="1" outlineLevel="1" x14ac:dyDescent="0.2">
      <c r="A270" s="296" t="s">
        <v>574</v>
      </c>
      <c r="B270" s="297"/>
      <c r="C270" s="297" t="s">
        <v>572</v>
      </c>
      <c r="D270" s="298">
        <v>271.16000000000003</v>
      </c>
      <c r="E270" s="298"/>
      <c r="F270" s="298"/>
      <c r="G270" s="299"/>
      <c r="H270" s="300"/>
      <c r="I270" s="301"/>
      <c r="J270" s="302"/>
      <c r="K270" s="308">
        <f t="shared" si="121"/>
        <v>2231977.0699999998</v>
      </c>
      <c r="L270" s="308">
        <f t="shared" si="121"/>
        <v>0</v>
      </c>
      <c r="M270" s="308"/>
      <c r="N270" s="308"/>
      <c r="O270" s="308">
        <f t="shared" si="113"/>
        <v>2231977.0699999998</v>
      </c>
    </row>
    <row r="271" spans="1:15" s="304" customFormat="1" ht="17.25" customHeight="1" outlineLevel="1" x14ac:dyDescent="0.2">
      <c r="A271" s="296" t="s">
        <v>575</v>
      </c>
      <c r="B271" s="297"/>
      <c r="C271" s="297" t="s">
        <v>573</v>
      </c>
      <c r="D271" s="298">
        <v>20.52</v>
      </c>
      <c r="E271" s="298"/>
      <c r="F271" s="298"/>
      <c r="G271" s="299"/>
      <c r="H271" s="300"/>
      <c r="I271" s="301"/>
      <c r="J271" s="302"/>
      <c r="K271" s="308">
        <f t="shared" si="121"/>
        <v>168904.59</v>
      </c>
      <c r="L271" s="308">
        <f t="shared" si="121"/>
        <v>0</v>
      </c>
      <c r="M271" s="308"/>
      <c r="N271" s="308"/>
      <c r="O271" s="308">
        <f t="shared" si="113"/>
        <v>168904.59</v>
      </c>
    </row>
    <row r="272" spans="1:15" s="304" customFormat="1" ht="17.25" customHeight="1" outlineLevel="1" x14ac:dyDescent="0.2">
      <c r="A272" s="296" t="s">
        <v>577</v>
      </c>
      <c r="B272" s="297"/>
      <c r="C272" s="297" t="s">
        <v>576</v>
      </c>
      <c r="D272" s="298">
        <f>49.45-0.01</f>
        <v>49.44</v>
      </c>
      <c r="E272" s="298"/>
      <c r="F272" s="298"/>
      <c r="G272" s="299"/>
      <c r="H272" s="300"/>
      <c r="I272" s="301"/>
      <c r="J272" s="302"/>
      <c r="K272" s="308">
        <f t="shared" si="121"/>
        <v>406951.42</v>
      </c>
      <c r="L272" s="308">
        <f t="shared" si="121"/>
        <v>0</v>
      </c>
      <c r="M272" s="308"/>
      <c r="N272" s="308"/>
      <c r="O272" s="308">
        <f t="shared" si="113"/>
        <v>406951.42</v>
      </c>
    </row>
    <row r="273" spans="1:15" s="304" customFormat="1" ht="29.25" customHeight="1" outlineLevel="1" x14ac:dyDescent="0.2">
      <c r="A273" s="296" t="s">
        <v>578</v>
      </c>
      <c r="B273" s="297"/>
      <c r="C273" s="297" t="s">
        <v>561</v>
      </c>
      <c r="D273" s="298">
        <v>18.260000000000002</v>
      </c>
      <c r="E273" s="298"/>
      <c r="F273" s="298"/>
      <c r="G273" s="299"/>
      <c r="H273" s="300"/>
      <c r="I273" s="301"/>
      <c r="J273" s="302"/>
      <c r="K273" s="308">
        <f t="shared" si="121"/>
        <v>150302.04</v>
      </c>
      <c r="L273" s="308">
        <f t="shared" si="121"/>
        <v>0</v>
      </c>
      <c r="M273" s="308"/>
      <c r="N273" s="308"/>
      <c r="O273" s="308">
        <f t="shared" si="113"/>
        <v>150302.04</v>
      </c>
    </row>
    <row r="274" spans="1:15" s="4" customFormat="1" ht="27.95" customHeight="1" x14ac:dyDescent="0.2">
      <c r="A274" s="28"/>
      <c r="B274" s="673" t="s">
        <v>63</v>
      </c>
      <c r="C274" s="673"/>
      <c r="D274" s="24">
        <f>D255+D261+D268</f>
        <v>3696.23</v>
      </c>
      <c r="E274" s="24">
        <f t="shared" ref="E274:H274" si="122">E255+E261+E268</f>
        <v>13.21</v>
      </c>
      <c r="F274" s="24">
        <f t="shared" si="122"/>
        <v>6501.21</v>
      </c>
      <c r="G274" s="24"/>
      <c r="H274" s="24">
        <f t="shared" si="122"/>
        <v>10210.65</v>
      </c>
      <c r="I274" s="76"/>
      <c r="J274" s="2"/>
      <c r="K274" s="69">
        <f>K255+K261+K268</f>
        <v>28082651.600000001</v>
      </c>
      <c r="L274" s="69">
        <f t="shared" ref="L274:O274" si="123">L255+L261+L268</f>
        <v>110450.29</v>
      </c>
      <c r="M274" s="69">
        <f t="shared" si="123"/>
        <v>26589948.899999999</v>
      </c>
      <c r="N274" s="69">
        <f t="shared" si="123"/>
        <v>0</v>
      </c>
      <c r="O274" s="69">
        <f t="shared" si="123"/>
        <v>54783050.789999999</v>
      </c>
    </row>
    <row r="275" spans="1:15" s="4" customFormat="1" ht="12.75" customHeight="1" x14ac:dyDescent="0.2">
      <c r="A275" s="686" t="s">
        <v>64</v>
      </c>
      <c r="B275" s="687"/>
      <c r="C275" s="687"/>
      <c r="D275" s="687"/>
      <c r="E275" s="687"/>
      <c r="F275" s="687"/>
      <c r="G275" s="687"/>
      <c r="H275" s="688"/>
      <c r="I275" s="75"/>
      <c r="J275" s="2"/>
      <c r="K275" s="61"/>
      <c r="L275" s="61"/>
      <c r="M275" s="61">
        <f>F275*4.09*1000</f>
        <v>0</v>
      </c>
      <c r="N275" s="61"/>
      <c r="O275" s="61"/>
    </row>
    <row r="276" spans="1:15" s="58" customFormat="1" ht="38.25" x14ac:dyDescent="0.2">
      <c r="A276" s="56">
        <v>16</v>
      </c>
      <c r="B276" s="49" t="s">
        <v>65</v>
      </c>
      <c r="C276" s="49" t="s">
        <v>66</v>
      </c>
      <c r="D276" s="32">
        <f>D277+D281+D284</f>
        <v>1763.56</v>
      </c>
      <c r="E276" s="47"/>
      <c r="F276" s="47"/>
      <c r="G276" s="47"/>
      <c r="H276" s="57">
        <f>H277+H281+H284</f>
        <v>1763.56</v>
      </c>
      <c r="I276" s="77"/>
      <c r="J276" s="12"/>
      <c r="K276" s="69">
        <f>K277+K281+K284</f>
        <v>14710238.4</v>
      </c>
      <c r="L276" s="69">
        <f t="shared" ref="L276:O276" si="124">L277+L281+L284</f>
        <v>0</v>
      </c>
      <c r="M276" s="69">
        <f t="shared" si="124"/>
        <v>0</v>
      </c>
      <c r="N276" s="69">
        <f t="shared" si="124"/>
        <v>0</v>
      </c>
      <c r="O276" s="69">
        <f t="shared" si="124"/>
        <v>14710238.4</v>
      </c>
    </row>
    <row r="277" spans="1:15" s="4" customFormat="1" ht="25.5" x14ac:dyDescent="0.2">
      <c r="A277" s="59" t="s">
        <v>278</v>
      </c>
      <c r="B277" s="159" t="s">
        <v>272</v>
      </c>
      <c r="C277" s="159" t="s">
        <v>273</v>
      </c>
      <c r="D277" s="24">
        <f>SUM(D278:D280)</f>
        <v>1348.3</v>
      </c>
      <c r="E277" s="24"/>
      <c r="F277" s="24"/>
      <c r="G277" s="25"/>
      <c r="H277" s="26">
        <f>SUM(D277:G277)</f>
        <v>1348.3</v>
      </c>
      <c r="I277" s="76"/>
      <c r="J277" s="2"/>
      <c r="K277" s="61">
        <f t="shared" ref="K277:M277" si="125">SUM(K278:K280)</f>
        <v>11246464.220000001</v>
      </c>
      <c r="L277" s="61">
        <f t="shared" si="125"/>
        <v>0</v>
      </c>
      <c r="M277" s="61">
        <f t="shared" si="125"/>
        <v>0</v>
      </c>
      <c r="N277" s="61"/>
      <c r="O277" s="61">
        <f>SUM(K277:N277)</f>
        <v>11246464.220000001</v>
      </c>
    </row>
    <row r="278" spans="1:15" s="304" customFormat="1" ht="25.5" outlineLevel="1" x14ac:dyDescent="0.2">
      <c r="A278" s="311" t="s">
        <v>400</v>
      </c>
      <c r="B278" s="297"/>
      <c r="C278" s="297" t="s">
        <v>399</v>
      </c>
      <c r="D278" s="298">
        <v>511.9</v>
      </c>
      <c r="E278" s="299"/>
      <c r="F278" s="299"/>
      <c r="G278" s="299"/>
      <c r="H278" s="312"/>
      <c r="I278" s="313"/>
      <c r="J278" s="302"/>
      <c r="K278" s="308">
        <f t="shared" ref="K278:L280" si="126">((D278)*1.023*1.01-(D278)*0.023*0.15)*8.1*1000</f>
        <v>4269869.49</v>
      </c>
      <c r="L278" s="308">
        <f t="shared" si="126"/>
        <v>0</v>
      </c>
      <c r="M278" s="308">
        <f>F278*4.09*1000</f>
        <v>0</v>
      </c>
      <c r="N278" s="303"/>
      <c r="O278" s="308">
        <f t="shared" ref="O278:O280" si="127">SUM(K278:N278)</f>
        <v>4269869.49</v>
      </c>
    </row>
    <row r="279" spans="1:15" s="304" customFormat="1" ht="25.5" outlineLevel="1" x14ac:dyDescent="0.2">
      <c r="A279" s="311" t="s">
        <v>402</v>
      </c>
      <c r="B279" s="297"/>
      <c r="C279" s="297" t="s">
        <v>401</v>
      </c>
      <c r="D279" s="298">
        <v>157.27000000000001</v>
      </c>
      <c r="E279" s="299"/>
      <c r="F279" s="299"/>
      <c r="G279" s="299"/>
      <c r="H279" s="312"/>
      <c r="I279" s="313"/>
      <c r="J279" s="302"/>
      <c r="K279" s="308">
        <f t="shared" si="126"/>
        <v>1311823.3500000001</v>
      </c>
      <c r="L279" s="308">
        <f t="shared" si="126"/>
        <v>0</v>
      </c>
      <c r="M279" s="308">
        <f>F279*4.09*1000</f>
        <v>0</v>
      </c>
      <c r="N279" s="303"/>
      <c r="O279" s="308">
        <f t="shared" si="127"/>
        <v>1311823.3500000001</v>
      </c>
    </row>
    <row r="280" spans="1:15" s="304" customFormat="1" ht="34.5" customHeight="1" outlineLevel="1" x14ac:dyDescent="0.2">
      <c r="A280" s="311" t="s">
        <v>403</v>
      </c>
      <c r="B280" s="297"/>
      <c r="C280" s="297" t="s">
        <v>404</v>
      </c>
      <c r="D280" s="298">
        <v>679.13</v>
      </c>
      <c r="E280" s="299"/>
      <c r="F280" s="299"/>
      <c r="G280" s="299"/>
      <c r="H280" s="312"/>
      <c r="I280" s="313"/>
      <c r="J280" s="302"/>
      <c r="K280" s="308">
        <f t="shared" si="126"/>
        <v>5664771.3799999999</v>
      </c>
      <c r="L280" s="308">
        <f t="shared" si="126"/>
        <v>0</v>
      </c>
      <c r="M280" s="308">
        <f>F280*4.09*1000</f>
        <v>0</v>
      </c>
      <c r="N280" s="303"/>
      <c r="O280" s="308">
        <f t="shared" si="127"/>
        <v>5664771.3799999999</v>
      </c>
    </row>
    <row r="281" spans="1:15" s="4" customFormat="1" ht="17.25" customHeight="1" x14ac:dyDescent="0.2">
      <c r="A281" s="59" t="s">
        <v>279</v>
      </c>
      <c r="B281" s="159" t="s">
        <v>274</v>
      </c>
      <c r="C281" s="159" t="s">
        <v>275</v>
      </c>
      <c r="D281" s="24">
        <f>SUM(D282:D283)</f>
        <v>386.58</v>
      </c>
      <c r="E281" s="24"/>
      <c r="F281" s="24"/>
      <c r="G281" s="25"/>
      <c r="H281" s="26">
        <f t="shared" ref="H281:H284" si="128">SUM(D281:G281)</f>
        <v>386.58</v>
      </c>
      <c r="I281" s="76"/>
      <c r="J281" s="2"/>
      <c r="K281" s="61">
        <f>SUM(K282:K283)</f>
        <v>3224548.05</v>
      </c>
      <c r="L281" s="61">
        <f t="shared" ref="L281:M281" si="129">SUM(L282:L283)</f>
        <v>0</v>
      </c>
      <c r="M281" s="61">
        <f t="shared" si="129"/>
        <v>0</v>
      </c>
      <c r="N281" s="61"/>
      <c r="O281" s="61">
        <f t="shared" ref="O281:O284" si="130">SUM(K281:N281)</f>
        <v>3224548.05</v>
      </c>
    </row>
    <row r="282" spans="1:15" s="315" customFormat="1" ht="24" customHeight="1" outlineLevel="1" x14ac:dyDescent="0.2">
      <c r="A282" s="296" t="s">
        <v>406</v>
      </c>
      <c r="B282" s="297"/>
      <c r="C282" s="297" t="s">
        <v>405</v>
      </c>
      <c r="D282" s="298">
        <v>250.32</v>
      </c>
      <c r="E282" s="299"/>
      <c r="F282" s="299"/>
      <c r="G282" s="299"/>
      <c r="H282" s="300"/>
      <c r="I282" s="301"/>
      <c r="J282" s="314"/>
      <c r="K282" s="308">
        <f t="shared" ref="K282:L284" si="131">((D282)*1.023*1.01-(D282)*0.023*0.15)*8.1*1000</f>
        <v>2087973.69</v>
      </c>
      <c r="L282" s="308">
        <f t="shared" si="131"/>
        <v>0</v>
      </c>
      <c r="M282" s="308">
        <f>F282*4.09*1000</f>
        <v>0</v>
      </c>
      <c r="N282" s="308"/>
      <c r="O282" s="308">
        <f t="shared" si="130"/>
        <v>2087973.69</v>
      </c>
    </row>
    <row r="283" spans="1:15" s="315" customFormat="1" ht="23.25" customHeight="1" outlineLevel="1" x14ac:dyDescent="0.2">
      <c r="A283" s="296" t="s">
        <v>408</v>
      </c>
      <c r="B283" s="297"/>
      <c r="C283" s="297" t="s">
        <v>407</v>
      </c>
      <c r="D283" s="298">
        <v>136.26</v>
      </c>
      <c r="E283" s="299"/>
      <c r="F283" s="299"/>
      <c r="G283" s="299"/>
      <c r="H283" s="300"/>
      <c r="I283" s="301"/>
      <c r="J283" s="314"/>
      <c r="K283" s="308">
        <f t="shared" si="131"/>
        <v>1136574.3600000001</v>
      </c>
      <c r="L283" s="308">
        <f t="shared" si="131"/>
        <v>0</v>
      </c>
      <c r="M283" s="308">
        <f>F283*4.09*1000</f>
        <v>0</v>
      </c>
      <c r="N283" s="308"/>
      <c r="O283" s="308">
        <f t="shared" si="130"/>
        <v>1136574.3600000001</v>
      </c>
    </row>
    <row r="284" spans="1:15" s="315" customFormat="1" ht="35.25" customHeight="1" x14ac:dyDescent="0.2">
      <c r="A284" s="296" t="s">
        <v>878</v>
      </c>
      <c r="B284" s="297" t="s">
        <v>276</v>
      </c>
      <c r="C284" s="297" t="s">
        <v>277</v>
      </c>
      <c r="D284" s="298">
        <v>28.68</v>
      </c>
      <c r="E284" s="299"/>
      <c r="F284" s="299"/>
      <c r="G284" s="299"/>
      <c r="H284" s="300">
        <f t="shared" si="128"/>
        <v>28.68</v>
      </c>
      <c r="I284" s="301"/>
      <c r="J284" s="314"/>
      <c r="K284" s="308">
        <f t="shared" si="131"/>
        <v>239226.13</v>
      </c>
      <c r="L284" s="308">
        <f t="shared" si="131"/>
        <v>0</v>
      </c>
      <c r="M284" s="308">
        <f>F284*4.09*1000</f>
        <v>0</v>
      </c>
      <c r="N284" s="308"/>
      <c r="O284" s="308">
        <f t="shared" si="130"/>
        <v>239226.13</v>
      </c>
    </row>
    <row r="285" spans="1:15" s="58" customFormat="1" ht="38.25" x14ac:dyDescent="0.2">
      <c r="A285" s="56">
        <v>17</v>
      </c>
      <c r="B285" s="49" t="s">
        <v>67</v>
      </c>
      <c r="C285" s="49" t="s">
        <v>68</v>
      </c>
      <c r="D285" s="32">
        <f>D286+D290+D293</f>
        <v>1116.42</v>
      </c>
      <c r="E285" s="47"/>
      <c r="F285" s="47"/>
      <c r="G285" s="47"/>
      <c r="H285" s="57">
        <f>H286+H290+H293</f>
        <v>1116.42</v>
      </c>
      <c r="I285" s="77"/>
      <c r="J285" s="12"/>
      <c r="K285" s="69">
        <f>K286+K290+K293</f>
        <v>9312302.5999999996</v>
      </c>
      <c r="L285" s="69">
        <f t="shared" ref="L285:O285" si="132">L286+L290+L293</f>
        <v>0</v>
      </c>
      <c r="M285" s="69">
        <f t="shared" si="132"/>
        <v>0</v>
      </c>
      <c r="N285" s="69">
        <f t="shared" si="132"/>
        <v>0</v>
      </c>
      <c r="O285" s="69">
        <f t="shared" si="132"/>
        <v>9312302.5999999996</v>
      </c>
    </row>
    <row r="286" spans="1:15" s="4" customFormat="1" ht="27.75" customHeight="1" x14ac:dyDescent="0.2">
      <c r="A286" s="59" t="s">
        <v>445</v>
      </c>
      <c r="B286" s="159" t="s">
        <v>280</v>
      </c>
      <c r="C286" s="159" t="s">
        <v>281</v>
      </c>
      <c r="D286" s="24">
        <f>SUM(D287:D289)</f>
        <v>787.47</v>
      </c>
      <c r="E286" s="24"/>
      <c r="F286" s="24"/>
      <c r="G286" s="25"/>
      <c r="H286" s="26">
        <f t="shared" ref="H286:H293" si="133">SUM(D286:G286)</f>
        <v>787.47</v>
      </c>
      <c r="I286" s="76"/>
      <c r="J286" s="2"/>
      <c r="K286" s="61">
        <f t="shared" ref="K286:O286" si="134">SUM(K287:K289)</f>
        <v>6568458.9400000004</v>
      </c>
      <c r="L286" s="61">
        <f t="shared" si="134"/>
        <v>0</v>
      </c>
      <c r="M286" s="61">
        <f t="shared" si="134"/>
        <v>0</v>
      </c>
      <c r="N286" s="61">
        <f t="shared" si="134"/>
        <v>0</v>
      </c>
      <c r="O286" s="61">
        <f t="shared" si="134"/>
        <v>6568458.9400000004</v>
      </c>
    </row>
    <row r="287" spans="1:15" s="315" customFormat="1" ht="36" customHeight="1" outlineLevel="1" x14ac:dyDescent="0.2">
      <c r="A287" s="296" t="s">
        <v>446</v>
      </c>
      <c r="B287" s="297"/>
      <c r="C287" s="316" t="s">
        <v>399</v>
      </c>
      <c r="D287" s="298">
        <v>481.9</v>
      </c>
      <c r="E287" s="299"/>
      <c r="F287" s="299"/>
      <c r="G287" s="299"/>
      <c r="H287" s="300"/>
      <c r="I287" s="301"/>
      <c r="J287" s="314"/>
      <c r="K287" s="308">
        <f t="shared" ref="K287:L289" si="135">((D287)*1.023*1.01-(D287)*0.023*0.15)*8.1*1000</f>
        <v>4019632.95</v>
      </c>
      <c r="L287" s="308">
        <f t="shared" si="135"/>
        <v>0</v>
      </c>
      <c r="M287" s="308">
        <f>F287*4.09*1000</f>
        <v>0</v>
      </c>
      <c r="N287" s="308"/>
      <c r="O287" s="308">
        <f>SUM(K287:N287)</f>
        <v>4019632.95</v>
      </c>
    </row>
    <row r="288" spans="1:15" s="315" customFormat="1" ht="35.25" customHeight="1" outlineLevel="1" x14ac:dyDescent="0.2">
      <c r="A288" s="296" t="s">
        <v>447</v>
      </c>
      <c r="B288" s="297"/>
      <c r="C288" s="316" t="s">
        <v>401</v>
      </c>
      <c r="D288" s="298">
        <v>210.31</v>
      </c>
      <c r="E288" s="299"/>
      <c r="F288" s="299"/>
      <c r="G288" s="299"/>
      <c r="H288" s="300"/>
      <c r="I288" s="301"/>
      <c r="J288" s="314"/>
      <c r="K288" s="308">
        <f t="shared" si="135"/>
        <v>1754241.56</v>
      </c>
      <c r="L288" s="308">
        <f t="shared" si="135"/>
        <v>0</v>
      </c>
      <c r="M288" s="308">
        <f>F288*4.09*1000</f>
        <v>0</v>
      </c>
      <c r="N288" s="308"/>
      <c r="O288" s="308">
        <f t="shared" ref="O288:O293" si="136">SUM(K288:N288)</f>
        <v>1754241.56</v>
      </c>
    </row>
    <row r="289" spans="1:17" s="315" customFormat="1" ht="33.75" customHeight="1" outlineLevel="1" x14ac:dyDescent="0.2">
      <c r="A289" s="296" t="s">
        <v>448</v>
      </c>
      <c r="B289" s="297"/>
      <c r="C289" s="316" t="s">
        <v>404</v>
      </c>
      <c r="D289" s="298">
        <f>95.25+0.01</f>
        <v>95.26</v>
      </c>
      <c r="E289" s="299"/>
      <c r="F289" s="299"/>
      <c r="G289" s="299"/>
      <c r="H289" s="300"/>
      <c r="I289" s="301"/>
      <c r="J289" s="314"/>
      <c r="K289" s="308">
        <f t="shared" si="135"/>
        <v>794584.43</v>
      </c>
      <c r="L289" s="308">
        <f t="shared" si="135"/>
        <v>0</v>
      </c>
      <c r="M289" s="308">
        <f>F289*4.09*1000</f>
        <v>0</v>
      </c>
      <c r="N289" s="308"/>
      <c r="O289" s="308">
        <f t="shared" si="136"/>
        <v>794584.43</v>
      </c>
    </row>
    <row r="290" spans="1:17" s="4" customFormat="1" ht="17.25" customHeight="1" x14ac:dyDescent="0.2">
      <c r="A290" s="59" t="s">
        <v>449</v>
      </c>
      <c r="B290" s="159" t="s">
        <v>282</v>
      </c>
      <c r="C290" s="159" t="s">
        <v>283</v>
      </c>
      <c r="D290" s="24">
        <f>SUM(D291:D292)</f>
        <v>306.43</v>
      </c>
      <c r="E290" s="24"/>
      <c r="F290" s="24"/>
      <c r="G290" s="25"/>
      <c r="H290" s="26">
        <f t="shared" si="133"/>
        <v>306.43</v>
      </c>
      <c r="I290" s="76"/>
      <c r="J290" s="2"/>
      <c r="K290" s="61">
        <f>SUM(K291:K292)</f>
        <v>2555999.4300000002</v>
      </c>
      <c r="L290" s="61">
        <f t="shared" ref="L290:M290" si="137">SUM(L291:L292)</f>
        <v>0</v>
      </c>
      <c r="M290" s="61">
        <f t="shared" si="137"/>
        <v>0</v>
      </c>
      <c r="N290" s="61"/>
      <c r="O290" s="61">
        <f t="shared" si="136"/>
        <v>2555999.4300000002</v>
      </c>
    </row>
    <row r="291" spans="1:17" s="315" customFormat="1" ht="26.25" customHeight="1" outlineLevel="1" x14ac:dyDescent="0.2">
      <c r="A291" s="296" t="s">
        <v>450</v>
      </c>
      <c r="B291" s="297"/>
      <c r="C291" s="316" t="s">
        <v>405</v>
      </c>
      <c r="D291" s="298">
        <f>200.73-0.01</f>
        <v>200.72</v>
      </c>
      <c r="E291" s="299"/>
      <c r="F291" s="299"/>
      <c r="G291" s="299"/>
      <c r="H291" s="300"/>
      <c r="I291" s="301"/>
      <c r="J291" s="314"/>
      <c r="K291" s="308">
        <f t="shared" ref="K291:L293" si="138">((D291)*1.023*1.01-(D291)*0.023*0.15)*8.1*1000</f>
        <v>1674249.28</v>
      </c>
      <c r="L291" s="308">
        <f t="shared" si="138"/>
        <v>0</v>
      </c>
      <c r="M291" s="308">
        <f>F291*4.09*1000</f>
        <v>0</v>
      </c>
      <c r="N291" s="308"/>
      <c r="O291" s="308">
        <f t="shared" si="136"/>
        <v>1674249.28</v>
      </c>
    </row>
    <row r="292" spans="1:17" s="315" customFormat="1" ht="26.25" customHeight="1" outlineLevel="1" x14ac:dyDescent="0.2">
      <c r="A292" s="296" t="s">
        <v>451</v>
      </c>
      <c r="B292" s="297"/>
      <c r="C292" s="316" t="s">
        <v>407</v>
      </c>
      <c r="D292" s="298">
        <v>105.71</v>
      </c>
      <c r="E292" s="299"/>
      <c r="F292" s="299"/>
      <c r="G292" s="299"/>
      <c r="H292" s="300"/>
      <c r="I292" s="301"/>
      <c r="J292" s="314"/>
      <c r="K292" s="308">
        <f t="shared" si="138"/>
        <v>881750.15</v>
      </c>
      <c r="L292" s="308">
        <f t="shared" si="138"/>
        <v>0</v>
      </c>
      <c r="M292" s="308">
        <f>F292*4.09*1000</f>
        <v>0</v>
      </c>
      <c r="N292" s="308"/>
      <c r="O292" s="308">
        <f t="shared" si="136"/>
        <v>881750.15</v>
      </c>
    </row>
    <row r="293" spans="1:17" s="315" customFormat="1" ht="32.25" customHeight="1" x14ac:dyDescent="0.2">
      <c r="A293" s="296" t="s">
        <v>879</v>
      </c>
      <c r="B293" s="297" t="s">
        <v>284</v>
      </c>
      <c r="C293" s="297" t="s">
        <v>285</v>
      </c>
      <c r="D293" s="298">
        <v>22.52</v>
      </c>
      <c r="E293" s="299"/>
      <c r="F293" s="299"/>
      <c r="G293" s="299"/>
      <c r="H293" s="300">
        <f t="shared" si="133"/>
        <v>22.52</v>
      </c>
      <c r="I293" s="301"/>
      <c r="J293" s="314"/>
      <c r="K293" s="308">
        <f t="shared" si="138"/>
        <v>187844.23</v>
      </c>
      <c r="L293" s="308">
        <f t="shared" si="138"/>
        <v>0</v>
      </c>
      <c r="M293" s="308">
        <f>F293*4.09*1000</f>
        <v>0</v>
      </c>
      <c r="N293" s="308"/>
      <c r="O293" s="308">
        <f t="shared" si="136"/>
        <v>187844.23</v>
      </c>
    </row>
    <row r="294" spans="1:17" s="4" customFormat="1" ht="27.95" customHeight="1" x14ac:dyDescent="0.2">
      <c r="A294" s="28"/>
      <c r="B294" s="673" t="s">
        <v>69</v>
      </c>
      <c r="C294" s="673"/>
      <c r="D294" s="24">
        <f>D285+D276</f>
        <v>2879.98</v>
      </c>
      <c r="E294" s="25"/>
      <c r="F294" s="25"/>
      <c r="G294" s="25"/>
      <c r="H294" s="26">
        <f>G294+F294+E294+D294</f>
        <v>2879.98</v>
      </c>
      <c r="I294" s="76"/>
      <c r="J294" s="2"/>
      <c r="K294" s="69">
        <f>K285+K276</f>
        <v>24022541</v>
      </c>
      <c r="L294" s="69">
        <f>L285+L276</f>
        <v>0</v>
      </c>
      <c r="M294" s="69">
        <f>M285+M276</f>
        <v>0</v>
      </c>
      <c r="N294" s="69">
        <f>N285+N276</f>
        <v>0</v>
      </c>
      <c r="O294" s="69">
        <f>O285+O276</f>
        <v>24022541</v>
      </c>
    </row>
    <row r="295" spans="1:17" s="4" customFormat="1" ht="12.75" customHeight="1" x14ac:dyDescent="0.2">
      <c r="A295" s="28"/>
      <c r="B295" s="673" t="s">
        <v>70</v>
      </c>
      <c r="C295" s="673"/>
      <c r="D295" s="24">
        <f>D294+D274+D253+D240+D234+D39</f>
        <v>102374.71</v>
      </c>
      <c r="E295" s="24">
        <f>E294+E274+E253+E240+E234+E39</f>
        <v>5455.28</v>
      </c>
      <c r="F295" s="24">
        <f>F294+F274+F253+F240+F234+F39</f>
        <v>20774.2</v>
      </c>
      <c r="G295" s="24">
        <f>G294+G274+G253+G240+G234+G39</f>
        <v>1460.36</v>
      </c>
      <c r="H295" s="26">
        <f>H294+H274+H253+H240+H234+H39</f>
        <v>130064.55</v>
      </c>
      <c r="I295" s="76"/>
      <c r="J295" s="2"/>
      <c r="K295" s="69">
        <f>K294+K274+K253+K240+K234+K39</f>
        <v>848207096.15999997</v>
      </c>
      <c r="L295" s="69">
        <f>L294+L274+L253+L240+L234+L39</f>
        <v>45301370.079999998</v>
      </c>
      <c r="M295" s="69">
        <f>M294+M274+M253+M240+M234+M39</f>
        <v>84966478</v>
      </c>
      <c r="N295" s="69">
        <f>N294+N274+N253+N240+N234+N39</f>
        <v>8062053.7699999996</v>
      </c>
      <c r="O295" s="69">
        <f>O294+O274+O253+O240+O234+O39</f>
        <v>986536998.00999999</v>
      </c>
    </row>
    <row r="296" spans="1:17" s="4" customFormat="1" ht="12.75" customHeight="1" x14ac:dyDescent="0.2">
      <c r="A296" s="686" t="s">
        <v>71</v>
      </c>
      <c r="B296" s="687"/>
      <c r="C296" s="687"/>
      <c r="D296" s="687"/>
      <c r="E296" s="687"/>
      <c r="F296" s="687"/>
      <c r="G296" s="687"/>
      <c r="H296" s="688"/>
      <c r="I296" s="75"/>
      <c r="J296" s="2"/>
      <c r="K296" s="61"/>
      <c r="L296" s="61"/>
      <c r="M296" s="61"/>
      <c r="N296" s="61"/>
      <c r="O296" s="61"/>
    </row>
    <row r="297" spans="1:17" s="4" customFormat="1" ht="56.25" customHeight="1" x14ac:dyDescent="0.2">
      <c r="A297" s="22">
        <v>18</v>
      </c>
      <c r="B297" s="51" t="s">
        <v>72</v>
      </c>
      <c r="C297" s="51" t="s">
        <v>73</v>
      </c>
      <c r="D297" s="24">
        <f>ROUND(D295*2.3%,2)</f>
        <v>2354.62</v>
      </c>
      <c r="E297" s="24">
        <f>ROUND(E295*2.3%,2)</f>
        <v>125.47</v>
      </c>
      <c r="F297" s="25"/>
      <c r="G297" s="25"/>
      <c r="H297" s="26">
        <f>D297+E297</f>
        <v>2480.09</v>
      </c>
      <c r="I297" s="76"/>
      <c r="J297" s="2"/>
      <c r="K297" s="61"/>
      <c r="L297" s="61"/>
      <c r="M297" s="61"/>
      <c r="N297" s="61"/>
      <c r="O297" s="61"/>
    </row>
    <row r="298" spans="1:17" s="4" customFormat="1" ht="21" hidden="1" customHeight="1" x14ac:dyDescent="0.2">
      <c r="A298" s="22"/>
      <c r="B298" s="51"/>
      <c r="C298" s="27"/>
      <c r="D298" s="24">
        <v>0</v>
      </c>
      <c r="E298" s="25"/>
      <c r="F298" s="25"/>
      <c r="G298" s="25"/>
      <c r="H298" s="26">
        <v>0</v>
      </c>
      <c r="I298" s="76"/>
      <c r="J298" s="2"/>
      <c r="K298" s="61"/>
      <c r="L298" s="61"/>
      <c r="M298" s="61"/>
      <c r="N298" s="61"/>
      <c r="O298" s="61"/>
    </row>
    <row r="299" spans="1:17" s="4" customFormat="1" ht="12.75" customHeight="1" x14ac:dyDescent="0.2">
      <c r="A299" s="28"/>
      <c r="B299" s="673" t="s">
        <v>74</v>
      </c>
      <c r="C299" s="673"/>
      <c r="D299" s="24">
        <f>D298+D297</f>
        <v>2354.62</v>
      </c>
      <c r="E299" s="24">
        <f>E298+E297</f>
        <v>125.47</v>
      </c>
      <c r="F299" s="24">
        <f>F298+F297</f>
        <v>0</v>
      </c>
      <c r="G299" s="24">
        <f>G298+G297</f>
        <v>0</v>
      </c>
      <c r="H299" s="26">
        <f>H298+H297</f>
        <v>2480.09</v>
      </c>
      <c r="I299" s="76"/>
      <c r="J299" s="2"/>
      <c r="K299" s="61"/>
      <c r="L299" s="61"/>
      <c r="M299" s="61"/>
      <c r="N299" s="61"/>
      <c r="O299" s="61"/>
    </row>
    <row r="300" spans="1:17" s="4" customFormat="1" ht="12.75" customHeight="1" x14ac:dyDescent="0.2">
      <c r="A300" s="28"/>
      <c r="B300" s="706" t="s">
        <v>75</v>
      </c>
      <c r="C300" s="707"/>
      <c r="D300" s="24">
        <v>353.19</v>
      </c>
      <c r="E300" s="24">
        <v>18.82</v>
      </c>
      <c r="F300" s="24"/>
      <c r="G300" s="24"/>
      <c r="H300" s="26">
        <v>372.01</v>
      </c>
      <c r="I300" s="76"/>
      <c r="J300" s="2"/>
      <c r="K300" s="61"/>
      <c r="L300" s="61"/>
      <c r="M300" s="61"/>
      <c r="N300" s="61"/>
      <c r="O300" s="61"/>
    </row>
    <row r="301" spans="1:17" s="4" customFormat="1" ht="12.75" customHeight="1" x14ac:dyDescent="0.2">
      <c r="A301" s="28"/>
      <c r="B301" s="673" t="s">
        <v>76</v>
      </c>
      <c r="C301" s="673"/>
      <c r="D301" s="24">
        <f>D299+D295</f>
        <v>104729.33</v>
      </c>
      <c r="E301" s="24">
        <f>E299+E295</f>
        <v>5580.75</v>
      </c>
      <c r="F301" s="24">
        <f>F299+F295</f>
        <v>20774.2</v>
      </c>
      <c r="G301" s="24">
        <f>G299+G295</f>
        <v>1460.36</v>
      </c>
      <c r="H301" s="26">
        <f>H299+H295</f>
        <v>132544.64000000001</v>
      </c>
      <c r="I301" s="76"/>
      <c r="J301" s="2"/>
      <c r="K301" s="69">
        <f>K299+K295</f>
        <v>848207096.15999997</v>
      </c>
      <c r="L301" s="69">
        <f>L299+L295</f>
        <v>45301370.079999998</v>
      </c>
      <c r="M301" s="69">
        <f>M299+M295</f>
        <v>84966478</v>
      </c>
      <c r="N301" s="69">
        <f>N299+N295</f>
        <v>8062053.7699999996</v>
      </c>
      <c r="O301" s="69">
        <f>O299+O295</f>
        <v>986536998.00999999</v>
      </c>
    </row>
    <row r="302" spans="1:17" s="4" customFormat="1" ht="12.75" customHeight="1" x14ac:dyDescent="0.2">
      <c r="A302" s="686" t="s">
        <v>77</v>
      </c>
      <c r="B302" s="687"/>
      <c r="C302" s="687"/>
      <c r="D302" s="687"/>
      <c r="E302" s="687"/>
      <c r="F302" s="687"/>
      <c r="G302" s="687"/>
      <c r="H302" s="688"/>
      <c r="I302" s="75"/>
      <c r="J302" s="2"/>
      <c r="K302" s="61"/>
      <c r="L302" s="61"/>
      <c r="M302" s="61"/>
      <c r="N302" s="61"/>
      <c r="O302" s="61"/>
    </row>
    <row r="303" spans="1:17" s="4" customFormat="1" ht="25.5" x14ac:dyDescent="0.2">
      <c r="A303" s="22">
        <v>19</v>
      </c>
      <c r="B303" s="51" t="s">
        <v>78</v>
      </c>
      <c r="C303" s="51" t="s">
        <v>79</v>
      </c>
      <c r="D303" s="24">
        <f>ROUND(D301*1%,2)</f>
        <v>1047.29</v>
      </c>
      <c r="E303" s="24">
        <f>ROUND(E301*1%,2)</f>
        <v>55.81</v>
      </c>
      <c r="F303" s="25"/>
      <c r="G303" s="25"/>
      <c r="H303" s="26">
        <f>D303+E303+F303+G303</f>
        <v>1103.0999999999999</v>
      </c>
      <c r="I303" s="76"/>
      <c r="J303" s="2"/>
      <c r="K303" s="61"/>
      <c r="L303" s="61"/>
      <c r="M303" s="61"/>
      <c r="N303" s="61"/>
      <c r="O303" s="61"/>
      <c r="Q303" s="4" t="s">
        <v>699</v>
      </c>
    </row>
    <row r="304" spans="1:17" s="58" customFormat="1" ht="38.25" x14ac:dyDescent="0.2">
      <c r="A304" s="56">
        <v>20</v>
      </c>
      <c r="B304" s="49" t="s">
        <v>80</v>
      </c>
      <c r="C304" s="49" t="s">
        <v>81</v>
      </c>
      <c r="D304" s="47"/>
      <c r="E304" s="47"/>
      <c r="F304" s="47"/>
      <c r="G304" s="32">
        <f>SUM(G305:G307)</f>
        <v>464.95</v>
      </c>
      <c r="H304" s="32">
        <f>SUM(H305:H307)</f>
        <v>464.95</v>
      </c>
      <c r="I304" s="77"/>
      <c r="J304" s="12"/>
      <c r="K304" s="69">
        <f t="shared" ref="K304:O304" si="139">SUM(K305:K307)</f>
        <v>0</v>
      </c>
      <c r="L304" s="69">
        <f t="shared" si="139"/>
        <v>0</v>
      </c>
      <c r="M304" s="69">
        <f t="shared" si="139"/>
        <v>0</v>
      </c>
      <c r="N304" s="72">
        <f t="shared" si="139"/>
        <v>7402004</v>
      </c>
      <c r="O304" s="69">
        <f t="shared" si="139"/>
        <v>7402004</v>
      </c>
      <c r="P304" s="58">
        <f>N304*1.02</f>
        <v>7550044.0800000001</v>
      </c>
      <c r="Q304" s="185">
        <f>(N304+N308)/(K321+L321+N304+N308)</f>
        <v>1.4E-2</v>
      </c>
    </row>
    <row r="305" spans="1:16" s="4" customFormat="1" ht="25.5" x14ac:dyDescent="0.2">
      <c r="A305" s="59" t="s">
        <v>292</v>
      </c>
      <c r="B305" s="159" t="s">
        <v>286</v>
      </c>
      <c r="C305" s="159" t="s">
        <v>287</v>
      </c>
      <c r="D305" s="25"/>
      <c r="E305" s="25"/>
      <c r="F305" s="25"/>
      <c r="G305" s="24">
        <v>417.51</v>
      </c>
      <c r="H305" s="26">
        <f t="shared" ref="H305:H319" si="140">D305+E305+F305+G305</f>
        <v>417.51</v>
      </c>
      <c r="I305" s="76"/>
      <c r="J305" s="2"/>
      <c r="K305" s="61"/>
      <c r="L305" s="61"/>
      <c r="M305" s="61">
        <f>F305*4.09*1000</f>
        <v>0</v>
      </c>
      <c r="N305" s="171">
        <f>G305*15.92*1000</f>
        <v>6646759.2000000002</v>
      </c>
      <c r="O305" s="61">
        <f t="shared" ref="O305:O307" si="141">SUM(K305:N305)</f>
        <v>6646759.2000000002</v>
      </c>
    </row>
    <row r="306" spans="1:16" s="4" customFormat="1" ht="38.25" x14ac:dyDescent="0.2">
      <c r="A306" s="59" t="s">
        <v>293</v>
      </c>
      <c r="B306" s="159" t="s">
        <v>288</v>
      </c>
      <c r="C306" s="159" t="s">
        <v>289</v>
      </c>
      <c r="D306" s="25"/>
      <c r="E306" s="25"/>
      <c r="F306" s="25"/>
      <c r="G306" s="24">
        <v>31.89</v>
      </c>
      <c r="H306" s="26">
        <f t="shared" si="140"/>
        <v>31.89</v>
      </c>
      <c r="I306" s="76"/>
      <c r="J306" s="2"/>
      <c r="K306" s="61"/>
      <c r="L306" s="61"/>
      <c r="M306" s="61">
        <f>F306*4.09*1000</f>
        <v>0</v>
      </c>
      <c r="N306" s="171">
        <f>G306*15.92*1000</f>
        <v>507688.8</v>
      </c>
      <c r="O306" s="61">
        <f t="shared" si="141"/>
        <v>507688.8</v>
      </c>
    </row>
    <row r="307" spans="1:16" s="4" customFormat="1" ht="25.5" x14ac:dyDescent="0.2">
      <c r="A307" s="59" t="s">
        <v>294</v>
      </c>
      <c r="B307" s="159" t="s">
        <v>290</v>
      </c>
      <c r="C307" s="159" t="s">
        <v>291</v>
      </c>
      <c r="D307" s="25"/>
      <c r="E307" s="25"/>
      <c r="F307" s="25"/>
      <c r="G307" s="24">
        <v>15.55</v>
      </c>
      <c r="H307" s="26">
        <f t="shared" si="140"/>
        <v>15.55</v>
      </c>
      <c r="I307" s="76"/>
      <c r="J307" s="2"/>
      <c r="K307" s="61"/>
      <c r="L307" s="61"/>
      <c r="M307" s="61">
        <f>F307*4.09*1000</f>
        <v>0</v>
      </c>
      <c r="N307" s="171">
        <f>G307*15.92*1000</f>
        <v>247556</v>
      </c>
      <c r="O307" s="61">
        <f t="shared" si="141"/>
        <v>247556</v>
      </c>
    </row>
    <row r="308" spans="1:16" s="58" customFormat="1" ht="38.25" x14ac:dyDescent="0.2">
      <c r="A308" s="56">
        <v>21</v>
      </c>
      <c r="B308" s="49" t="s">
        <v>82</v>
      </c>
      <c r="C308" s="49" t="s">
        <v>83</v>
      </c>
      <c r="D308" s="47"/>
      <c r="E308" s="47"/>
      <c r="F308" s="47"/>
      <c r="G308" s="32">
        <f>SUM(G309:G311)</f>
        <v>335.19</v>
      </c>
      <c r="H308" s="32">
        <f>SUM(H309:H311)</f>
        <v>335.19</v>
      </c>
      <c r="I308" s="77"/>
      <c r="J308" s="12"/>
      <c r="K308" s="69">
        <f t="shared" ref="K308:O308" si="142">SUM(K309:K311)</f>
        <v>0</v>
      </c>
      <c r="L308" s="69">
        <f t="shared" si="142"/>
        <v>0</v>
      </c>
      <c r="M308" s="69">
        <f t="shared" si="142"/>
        <v>0</v>
      </c>
      <c r="N308" s="72">
        <f>SUM(N309:N311)</f>
        <v>5336224.8</v>
      </c>
      <c r="O308" s="69">
        <f t="shared" si="142"/>
        <v>5336224.8</v>
      </c>
      <c r="P308" s="58">
        <f>N308*1.02</f>
        <v>5442949.2960000001</v>
      </c>
    </row>
    <row r="309" spans="1:16" s="4" customFormat="1" ht="25.5" x14ac:dyDescent="0.2">
      <c r="A309" s="59" t="s">
        <v>301</v>
      </c>
      <c r="B309" s="159" t="s">
        <v>295</v>
      </c>
      <c r="C309" s="159" t="s">
        <v>296</v>
      </c>
      <c r="D309" s="25"/>
      <c r="E309" s="25"/>
      <c r="F309" s="25"/>
      <c r="G309" s="24">
        <v>290.32</v>
      </c>
      <c r="H309" s="26">
        <f>D309+E309+F309+G309</f>
        <v>290.32</v>
      </c>
      <c r="I309" s="76"/>
      <c r="J309" s="2"/>
      <c r="K309" s="61"/>
      <c r="L309" s="61"/>
      <c r="M309" s="61">
        <f>F309*4.09*1000</f>
        <v>0</v>
      </c>
      <c r="N309" s="171">
        <f>G309*15.92*1000</f>
        <v>4621894.4000000004</v>
      </c>
      <c r="O309" s="61">
        <f t="shared" ref="O309:O319" si="143">SUM(K309:N309)</f>
        <v>4621894.4000000004</v>
      </c>
    </row>
    <row r="310" spans="1:16" s="231" customFormat="1" ht="38.25" x14ac:dyDescent="0.2">
      <c r="A310" s="59" t="s">
        <v>302</v>
      </c>
      <c r="B310" s="285" t="s">
        <v>297</v>
      </c>
      <c r="C310" s="285" t="s">
        <v>298</v>
      </c>
      <c r="D310" s="287"/>
      <c r="E310" s="287"/>
      <c r="F310" s="287"/>
      <c r="G310" s="286">
        <v>31.89</v>
      </c>
      <c r="H310" s="26">
        <f t="shared" ref="H310:H311" si="144">D310+E310+F310+G310</f>
        <v>31.89</v>
      </c>
      <c r="I310" s="76"/>
      <c r="J310" s="230"/>
      <c r="K310" s="242"/>
      <c r="L310" s="242"/>
      <c r="M310" s="242">
        <f>F310*4.09*1000</f>
        <v>0</v>
      </c>
      <c r="N310" s="171">
        <f>G310*15.92*1000</f>
        <v>507688.8</v>
      </c>
      <c r="O310" s="242">
        <f t="shared" si="143"/>
        <v>507688.8</v>
      </c>
    </row>
    <row r="311" spans="1:16" s="231" customFormat="1" ht="25.5" x14ac:dyDescent="0.2">
      <c r="A311" s="59" t="s">
        <v>303</v>
      </c>
      <c r="B311" s="285" t="s">
        <v>299</v>
      </c>
      <c r="C311" s="285" t="s">
        <v>300</v>
      </c>
      <c r="D311" s="287"/>
      <c r="E311" s="287"/>
      <c r="F311" s="287"/>
      <c r="G311" s="286">
        <v>12.98</v>
      </c>
      <c r="H311" s="26">
        <f t="shared" si="144"/>
        <v>12.98</v>
      </c>
      <c r="I311" s="76"/>
      <c r="J311" s="230"/>
      <c r="K311" s="242"/>
      <c r="L311" s="242"/>
      <c r="M311" s="242">
        <f>F311*4.09*1000</f>
        <v>0</v>
      </c>
      <c r="N311" s="171">
        <f>G311*15.92*1000</f>
        <v>206641.6</v>
      </c>
      <c r="O311" s="242">
        <f t="shared" si="143"/>
        <v>206641.6</v>
      </c>
    </row>
    <row r="312" spans="1:16" s="4" customFormat="1" ht="38.25" x14ac:dyDescent="0.2">
      <c r="A312" s="22">
        <v>22</v>
      </c>
      <c r="B312" s="51" t="s">
        <v>84</v>
      </c>
      <c r="C312" s="51" t="s">
        <v>85</v>
      </c>
      <c r="D312" s="25"/>
      <c r="E312" s="25"/>
      <c r="F312" s="25"/>
      <c r="G312" s="24">
        <f>ROUND((29.43+35.23)/10.79,2)</f>
        <v>5.99</v>
      </c>
      <c r="H312" s="26">
        <f t="shared" si="140"/>
        <v>5.99</v>
      </c>
      <c r="I312" s="76"/>
      <c r="J312" s="2"/>
      <c r="K312" s="61"/>
      <c r="L312" s="61"/>
      <c r="M312" s="61"/>
      <c r="N312" s="171">
        <f>G312*10.79*1000</f>
        <v>64632.1</v>
      </c>
      <c r="O312" s="61">
        <f t="shared" si="143"/>
        <v>64632.1</v>
      </c>
      <c r="P312" s="58">
        <f>N312*1.02</f>
        <v>65924.741999999998</v>
      </c>
    </row>
    <row r="313" spans="1:16" s="4" customFormat="1" x14ac:dyDescent="0.2">
      <c r="A313" s="22">
        <v>23</v>
      </c>
      <c r="B313" s="51" t="s">
        <v>86</v>
      </c>
      <c r="C313" s="51" t="s">
        <v>87</v>
      </c>
      <c r="D313" s="25"/>
      <c r="E313" s="25"/>
      <c r="F313" s="25"/>
      <c r="G313" s="24">
        <v>53.69</v>
      </c>
      <c r="H313" s="26">
        <f t="shared" si="140"/>
        <v>53.69</v>
      </c>
      <c r="I313" s="76"/>
      <c r="J313" s="2"/>
      <c r="K313" s="61"/>
      <c r="L313" s="61"/>
      <c r="M313" s="61"/>
      <c r="N313" s="171">
        <f>G313*10.79*1000</f>
        <v>579315.1</v>
      </c>
      <c r="O313" s="61">
        <f t="shared" si="143"/>
        <v>579315.1</v>
      </c>
      <c r="P313" s="58">
        <f>N313*1.02</f>
        <v>590901.402</v>
      </c>
    </row>
    <row r="314" spans="1:16" s="4" customFormat="1" ht="25.5" x14ac:dyDescent="0.2">
      <c r="A314" s="22">
        <v>24</v>
      </c>
      <c r="B314" s="51" t="s">
        <v>88</v>
      </c>
      <c r="C314" s="51" t="s">
        <v>89</v>
      </c>
      <c r="D314" s="25"/>
      <c r="E314" s="25"/>
      <c r="F314" s="25"/>
      <c r="G314" s="24">
        <v>21220.01</v>
      </c>
      <c r="H314" s="26">
        <f t="shared" si="140"/>
        <v>21220.01</v>
      </c>
      <c r="I314" s="76"/>
      <c r="J314" s="2"/>
      <c r="K314" s="61"/>
      <c r="L314" s="61"/>
      <c r="M314" s="61"/>
      <c r="N314" s="171">
        <f>G314*10.79*1000</f>
        <v>228963907.90000001</v>
      </c>
      <c r="O314" s="61">
        <f t="shared" si="143"/>
        <v>228963907.90000001</v>
      </c>
      <c r="P314" s="58">
        <f>N314*1.02</f>
        <v>233543186.058</v>
      </c>
    </row>
    <row r="315" spans="1:16" s="4" customFormat="1" ht="25.5" x14ac:dyDescent="0.2">
      <c r="A315" s="22">
        <v>25</v>
      </c>
      <c r="B315" s="51" t="s">
        <v>90</v>
      </c>
      <c r="C315" s="51" t="s">
        <v>91</v>
      </c>
      <c r="D315" s="25">
        <v>826</v>
      </c>
      <c r="E315" s="25"/>
      <c r="F315" s="25"/>
      <c r="G315" s="24"/>
      <c r="H315" s="26">
        <f t="shared" si="140"/>
        <v>826</v>
      </c>
      <c r="I315" s="76"/>
      <c r="J315" s="71"/>
      <c r="K315" s="61">
        <f>D315*8.1*1000</f>
        <v>6690600</v>
      </c>
      <c r="L315" s="61"/>
      <c r="M315" s="61"/>
      <c r="N315" s="61"/>
      <c r="O315" s="61">
        <f t="shared" si="143"/>
        <v>6690600</v>
      </c>
    </row>
    <row r="316" spans="1:16" s="4" customFormat="1" ht="25.5" x14ac:dyDescent="0.2">
      <c r="A316" s="22">
        <v>26</v>
      </c>
      <c r="B316" s="51" t="s">
        <v>92</v>
      </c>
      <c r="C316" s="51" t="s">
        <v>93</v>
      </c>
      <c r="D316" s="25"/>
      <c r="E316" s="25"/>
      <c r="F316" s="25"/>
      <c r="G316" s="24">
        <f>ROUND(66107.75/1.2/10.79,2)</f>
        <v>5105.63</v>
      </c>
      <c r="H316" s="26">
        <f t="shared" si="140"/>
        <v>5105.63</v>
      </c>
      <c r="I316" s="76"/>
      <c r="J316" s="71"/>
      <c r="K316" s="61"/>
      <c r="L316" s="61"/>
      <c r="M316" s="61"/>
      <c r="N316" s="171">
        <f>G316*10.79*1000</f>
        <v>55089747.700000003</v>
      </c>
      <c r="O316" s="61">
        <f t="shared" si="143"/>
        <v>55089747.700000003</v>
      </c>
      <c r="P316" s="58">
        <f>N316*1.02</f>
        <v>56191542.653999999</v>
      </c>
    </row>
    <row r="317" spans="1:16" s="4" customFormat="1" x14ac:dyDescent="0.2">
      <c r="A317" s="22">
        <v>27</v>
      </c>
      <c r="B317" s="51" t="s">
        <v>94</v>
      </c>
      <c r="C317" s="51" t="s">
        <v>95</v>
      </c>
      <c r="D317" s="24">
        <v>560.85</v>
      </c>
      <c r="E317" s="25"/>
      <c r="F317" s="25"/>
      <c r="G317" s="25"/>
      <c r="H317" s="26">
        <f t="shared" si="140"/>
        <v>560.85</v>
      </c>
      <c r="I317" s="76"/>
      <c r="J317" s="71"/>
      <c r="K317" s="61">
        <f>D317*8.1*1000</f>
        <v>4542885</v>
      </c>
      <c r="L317" s="61"/>
      <c r="M317" s="61"/>
      <c r="N317" s="61"/>
      <c r="O317" s="61">
        <f t="shared" si="143"/>
        <v>4542885</v>
      </c>
    </row>
    <row r="318" spans="1:16" s="4" customFormat="1" ht="25.5" x14ac:dyDescent="0.2">
      <c r="A318" s="22">
        <v>28</v>
      </c>
      <c r="B318" s="51" t="s">
        <v>96</v>
      </c>
      <c r="C318" s="51" t="s">
        <v>97</v>
      </c>
      <c r="D318" s="25"/>
      <c r="E318" s="25"/>
      <c r="F318" s="25"/>
      <c r="G318" s="24">
        <f>ROUND(146.49/10.79,2)</f>
        <v>13.58</v>
      </c>
      <c r="H318" s="26">
        <f t="shared" si="140"/>
        <v>13.58</v>
      </c>
      <c r="I318" s="76"/>
      <c r="J318" s="2"/>
      <c r="K318" s="61"/>
      <c r="L318" s="61"/>
      <c r="M318" s="61"/>
      <c r="N318" s="171">
        <f>G318*10.79*1000</f>
        <v>146528.20000000001</v>
      </c>
      <c r="O318" s="61">
        <f t="shared" si="143"/>
        <v>146528.20000000001</v>
      </c>
      <c r="P318" s="58">
        <f>N318*1.02</f>
        <v>149458.764</v>
      </c>
    </row>
    <row r="319" spans="1:16" s="4" customFormat="1" ht="38.25" x14ac:dyDescent="0.2">
      <c r="A319" s="22">
        <v>29</v>
      </c>
      <c r="B319" s="51" t="s">
        <v>98</v>
      </c>
      <c r="C319" s="51" t="s">
        <v>99</v>
      </c>
      <c r="D319" s="25"/>
      <c r="E319" s="25"/>
      <c r="F319" s="25"/>
      <c r="G319" s="24">
        <f>ROUND(5743.64/4.35/1.266,2)</f>
        <v>1042.95</v>
      </c>
      <c r="H319" s="26">
        <f t="shared" si="140"/>
        <v>1042.95</v>
      </c>
      <c r="I319" s="76"/>
      <c r="J319" s="2"/>
      <c r="K319" s="61"/>
      <c r="L319" s="61"/>
      <c r="M319" s="61"/>
      <c r="N319" s="171">
        <f>G319*1.266*4.35*1000</f>
        <v>5743629.9500000002</v>
      </c>
      <c r="O319" s="61">
        <f t="shared" si="143"/>
        <v>5743629.9500000002</v>
      </c>
      <c r="P319" s="58">
        <f>N319*1.02</f>
        <v>5858502.5489999996</v>
      </c>
    </row>
    <row r="320" spans="1:16" s="4" customFormat="1" ht="21.75" customHeight="1" x14ac:dyDescent="0.2">
      <c r="A320" s="28"/>
      <c r="B320" s="673" t="s">
        <v>100</v>
      </c>
      <c r="C320" s="673"/>
      <c r="D320" s="24">
        <f>D303+D304+D308+D312+D313+D314+D315+D316+D317+D318+D319</f>
        <v>2434.14</v>
      </c>
      <c r="E320" s="24">
        <f>E303+E304+E308+E312+E313+E314+E315+E316+E317+E318+E319</f>
        <v>55.81</v>
      </c>
      <c r="F320" s="24">
        <f>F303+F304+F308+F312+F313+F314+F315+F316+F317+F318+F319</f>
        <v>0</v>
      </c>
      <c r="G320" s="24">
        <f>G303+G304+G308+G312+G313+G314+G315+G316+G317+G318+G319</f>
        <v>28241.99</v>
      </c>
      <c r="H320" s="26">
        <f>D320+E320+F320+G320</f>
        <v>30731.94</v>
      </c>
      <c r="I320" s="76"/>
      <c r="J320" s="2"/>
      <c r="K320" s="69">
        <f>K304+K308+K312+K313+K314+K315+K316+K317+K318+K319</f>
        <v>11233485</v>
      </c>
      <c r="L320" s="69">
        <f>SUM(L303:L319)</f>
        <v>0</v>
      </c>
      <c r="M320" s="69">
        <f>SUM(M303:M319)</f>
        <v>0</v>
      </c>
      <c r="N320" s="69">
        <f>N304+N308+N312+N313+N314+N315+N316+N317+N318+N319</f>
        <v>303325989.75</v>
      </c>
      <c r="O320" s="69">
        <f>O304+O308+O312+O313+O314+O315+O316+O317+O318+O319</f>
        <v>314559474.75</v>
      </c>
    </row>
    <row r="321" spans="1:16" s="4" customFormat="1" ht="18.75" customHeight="1" x14ac:dyDescent="0.2">
      <c r="A321" s="28"/>
      <c r="B321" s="673" t="s">
        <v>101</v>
      </c>
      <c r="C321" s="673"/>
      <c r="D321" s="24">
        <f>D320+D301</f>
        <v>107163.47</v>
      </c>
      <c r="E321" s="24">
        <f>E320+E301</f>
        <v>5636.56</v>
      </c>
      <c r="F321" s="24">
        <f>F320+F301</f>
        <v>20774.2</v>
      </c>
      <c r="G321" s="24">
        <f>G320+G301</f>
        <v>29702.35</v>
      </c>
      <c r="H321" s="26">
        <f>H320+H301</f>
        <v>163276.57999999999</v>
      </c>
      <c r="I321" s="76"/>
      <c r="J321" s="2"/>
      <c r="K321" s="69">
        <f>K320+K301</f>
        <v>859440581.15999997</v>
      </c>
      <c r="L321" s="69">
        <f>L320+L301</f>
        <v>45301370.079999998</v>
      </c>
      <c r="M321" s="72">
        <f>M320+M301</f>
        <v>84966478</v>
      </c>
      <c r="N321" s="69">
        <f>N320+N301</f>
        <v>311388043.51999998</v>
      </c>
      <c r="O321" s="69">
        <f>O320+O301</f>
        <v>1301096472.76</v>
      </c>
    </row>
    <row r="322" spans="1:16" s="4" customFormat="1" ht="18" customHeight="1" x14ac:dyDescent="0.2">
      <c r="A322" s="686" t="s">
        <v>102</v>
      </c>
      <c r="B322" s="687"/>
      <c r="C322" s="687"/>
      <c r="D322" s="687"/>
      <c r="E322" s="687"/>
      <c r="F322" s="687"/>
      <c r="G322" s="687"/>
      <c r="H322" s="688"/>
      <c r="I322" s="75"/>
      <c r="J322" s="2"/>
      <c r="K322" s="163"/>
      <c r="L322" s="163"/>
      <c r="M322" s="163"/>
      <c r="N322" s="163"/>
      <c r="O322" s="61"/>
    </row>
    <row r="323" spans="1:16" s="4" customFormat="1" ht="51" x14ac:dyDescent="0.25">
      <c r="A323" s="22">
        <v>30</v>
      </c>
      <c r="B323" s="51" t="s">
        <v>103</v>
      </c>
      <c r="C323" s="51" t="s">
        <v>104</v>
      </c>
      <c r="D323" s="25"/>
      <c r="E323" s="25"/>
      <c r="F323" s="25"/>
      <c r="G323" s="172">
        <f>ROUND((H321+H331)*0.0113,2)*0</f>
        <v>0</v>
      </c>
      <c r="H323" s="26">
        <f>G323</f>
        <v>0</v>
      </c>
      <c r="I323" s="76"/>
      <c r="J323" s="2"/>
      <c r="K323" s="163"/>
      <c r="L323" s="163"/>
      <c r="M323" s="163"/>
      <c r="N323" s="165">
        <f>G323*10.79*1000</f>
        <v>0</v>
      </c>
      <c r="O323" s="61">
        <f t="shared" ref="O323:O327" si="145">SUM(K323:N323)</f>
        <v>0</v>
      </c>
      <c r="P323" s="58">
        <f>N323*1.02</f>
        <v>0</v>
      </c>
    </row>
    <row r="324" spans="1:16" s="4" customFormat="1" ht="27.95" customHeight="1" x14ac:dyDescent="0.2">
      <c r="A324" s="28"/>
      <c r="B324" s="673" t="s">
        <v>105</v>
      </c>
      <c r="C324" s="673"/>
      <c r="D324" s="25"/>
      <c r="E324" s="25"/>
      <c r="F324" s="25"/>
      <c r="G324" s="32">
        <f>G323</f>
        <v>0</v>
      </c>
      <c r="H324" s="57">
        <f>H323</f>
        <v>0</v>
      </c>
      <c r="I324" s="76"/>
      <c r="J324" s="2"/>
      <c r="K324" s="164">
        <f>K323</f>
        <v>0</v>
      </c>
      <c r="L324" s="164">
        <f t="shared" ref="L324:N324" si="146">L323</f>
        <v>0</v>
      </c>
      <c r="M324" s="164">
        <f t="shared" si="146"/>
        <v>0</v>
      </c>
      <c r="N324" s="164">
        <f t="shared" si="146"/>
        <v>0</v>
      </c>
      <c r="O324" s="69">
        <f t="shared" si="145"/>
        <v>0</v>
      </c>
    </row>
    <row r="325" spans="1:16" s="4" customFormat="1" ht="12.75" customHeight="1" x14ac:dyDescent="0.2">
      <c r="A325" s="686" t="s">
        <v>106</v>
      </c>
      <c r="B325" s="687"/>
      <c r="C325" s="687"/>
      <c r="D325" s="687"/>
      <c r="E325" s="687"/>
      <c r="F325" s="687"/>
      <c r="G325" s="687"/>
      <c r="H325" s="688"/>
      <c r="I325" s="75"/>
      <c r="J325" s="2"/>
      <c r="K325" s="163"/>
      <c r="L325" s="163"/>
      <c r="M325" s="163"/>
      <c r="N325" s="163"/>
      <c r="O325" s="61"/>
    </row>
    <row r="326" spans="1:16" s="4" customFormat="1" ht="25.5" x14ac:dyDescent="0.2">
      <c r="A326" s="22">
        <v>31</v>
      </c>
      <c r="B326" s="51" t="s">
        <v>107</v>
      </c>
      <c r="C326" s="51" t="s">
        <v>108</v>
      </c>
      <c r="D326" s="25"/>
      <c r="E326" s="25"/>
      <c r="F326" s="25"/>
      <c r="G326" s="172">
        <f>6294.14*0</f>
        <v>0</v>
      </c>
      <c r="H326" s="26">
        <f>G326</f>
        <v>0</v>
      </c>
      <c r="I326" s="76"/>
      <c r="J326" s="2"/>
      <c r="K326" s="61"/>
      <c r="L326" s="61"/>
      <c r="M326" s="61"/>
      <c r="N326" s="162">
        <f>G326*4.35*1.266*1000</f>
        <v>0</v>
      </c>
      <c r="O326" s="61">
        <f t="shared" si="145"/>
        <v>0</v>
      </c>
      <c r="P326" s="58">
        <f>N326*1.02</f>
        <v>0</v>
      </c>
    </row>
    <row r="327" spans="1:16" s="4" customFormat="1" ht="25.5" x14ac:dyDescent="0.2">
      <c r="A327" s="22">
        <v>32</v>
      </c>
      <c r="B327" s="51" t="s">
        <v>107</v>
      </c>
      <c r="C327" s="51" t="s">
        <v>109</v>
      </c>
      <c r="D327" s="25"/>
      <c r="E327" s="25"/>
      <c r="F327" s="25"/>
      <c r="G327" s="172">
        <f>10028.32*0</f>
        <v>0</v>
      </c>
      <c r="H327" s="26">
        <f t="shared" ref="H327:H330" si="147">G327</f>
        <v>0</v>
      </c>
      <c r="I327" s="76">
        <f>G327*4.27*1.19*1.02*1.2</f>
        <v>0</v>
      </c>
      <c r="J327" s="2"/>
      <c r="K327" s="61"/>
      <c r="L327" s="61"/>
      <c r="M327" s="61"/>
      <c r="N327" s="162">
        <f>G327*4.27*1.19*1000</f>
        <v>0</v>
      </c>
      <c r="O327" s="61">
        <f t="shared" si="145"/>
        <v>0</v>
      </c>
      <c r="P327" s="58">
        <f>N327*1.02</f>
        <v>0</v>
      </c>
    </row>
    <row r="328" spans="1:16" s="4" customFormat="1" ht="28.5" customHeight="1" x14ac:dyDescent="0.2">
      <c r="A328" s="22">
        <v>33</v>
      </c>
      <c r="B328" s="51" t="s">
        <v>107</v>
      </c>
      <c r="C328" s="51" t="s">
        <v>110</v>
      </c>
      <c r="D328" s="25"/>
      <c r="E328" s="25"/>
      <c r="F328" s="25"/>
      <c r="G328" s="24">
        <v>12526.27</v>
      </c>
      <c r="H328" s="26">
        <f t="shared" si="147"/>
        <v>12526.27</v>
      </c>
      <c r="I328" s="76"/>
      <c r="J328" s="2"/>
      <c r="K328" s="61"/>
      <c r="L328" s="61"/>
      <c r="M328" s="61"/>
      <c r="N328" s="61">
        <f>G328*4.27*1.19*1000</f>
        <v>63649735.75</v>
      </c>
      <c r="O328" s="61">
        <f t="shared" ref="O328:O331" si="148">SUM(K328:N328)</f>
        <v>63649735.75</v>
      </c>
      <c r="P328" s="58">
        <f>N328*1.02</f>
        <v>64922730.465000004</v>
      </c>
    </row>
    <row r="329" spans="1:16" s="4" customFormat="1" ht="25.5" x14ac:dyDescent="0.2">
      <c r="A329" s="22">
        <v>34</v>
      </c>
      <c r="B329" s="51" t="s">
        <v>111</v>
      </c>
      <c r="C329" s="51" t="s">
        <v>112</v>
      </c>
      <c r="D329" s="25"/>
      <c r="E329" s="25"/>
      <c r="F329" s="25"/>
      <c r="G329" s="172">
        <f>674.12*0</f>
        <v>0</v>
      </c>
      <c r="H329" s="26">
        <f t="shared" si="147"/>
        <v>0</v>
      </c>
      <c r="I329" s="76"/>
      <c r="J329" s="2"/>
      <c r="K329" s="61"/>
      <c r="L329" s="61"/>
      <c r="M329" s="61"/>
      <c r="N329" s="162">
        <f>G329*5.29*1000</f>
        <v>0</v>
      </c>
      <c r="O329" s="61">
        <f t="shared" si="148"/>
        <v>0</v>
      </c>
      <c r="P329" s="58">
        <f>N329*1.02</f>
        <v>0</v>
      </c>
    </row>
    <row r="330" spans="1:16" s="4" customFormat="1" ht="89.25" x14ac:dyDescent="0.2">
      <c r="A330" s="22">
        <v>35</v>
      </c>
      <c r="B330" s="51" t="s">
        <v>113</v>
      </c>
      <c r="C330" s="51" t="s">
        <v>114</v>
      </c>
      <c r="D330" s="25"/>
      <c r="E330" s="25"/>
      <c r="F330" s="25"/>
      <c r="G330" s="172">
        <f>ROUND((G326+G327)*0.58%,2)</f>
        <v>0</v>
      </c>
      <c r="H330" s="26">
        <f t="shared" si="147"/>
        <v>0</v>
      </c>
      <c r="I330" s="76"/>
      <c r="J330" s="2"/>
      <c r="K330" s="61"/>
      <c r="L330" s="61"/>
      <c r="M330" s="61"/>
      <c r="N330" s="162">
        <f>(N326+N327)*0.58%</f>
        <v>0</v>
      </c>
      <c r="O330" s="61">
        <f t="shared" si="148"/>
        <v>0</v>
      </c>
      <c r="P330" s="58">
        <f>N330*1.02</f>
        <v>0</v>
      </c>
    </row>
    <row r="331" spans="1:16" s="4" customFormat="1" ht="140.1" customHeight="1" x14ac:dyDescent="0.2">
      <c r="A331" s="28"/>
      <c r="B331" s="673" t="s">
        <v>115</v>
      </c>
      <c r="C331" s="673"/>
      <c r="D331" s="25"/>
      <c r="E331" s="25"/>
      <c r="F331" s="25"/>
      <c r="G331" s="24">
        <f>SUM(G326:G330)</f>
        <v>12526.27</v>
      </c>
      <c r="H331" s="26">
        <f>G331</f>
        <v>12526.27</v>
      </c>
      <c r="I331" s="76"/>
      <c r="J331" s="2"/>
      <c r="K331" s="61">
        <f>SUM(K326:K330)</f>
        <v>0</v>
      </c>
      <c r="L331" s="61">
        <f t="shared" ref="L331:N331" si="149">SUM(L326:L330)</f>
        <v>0</v>
      </c>
      <c r="M331" s="61">
        <f t="shared" si="149"/>
        <v>0</v>
      </c>
      <c r="N331" s="61">
        <f t="shared" si="149"/>
        <v>63649735.75</v>
      </c>
      <c r="O331" s="61">
        <f t="shared" si="148"/>
        <v>63649735.75</v>
      </c>
    </row>
    <row r="332" spans="1:16" s="58" customFormat="1" ht="26.25" customHeight="1" x14ac:dyDescent="0.2">
      <c r="A332" s="63"/>
      <c r="B332" s="673" t="s">
        <v>116</v>
      </c>
      <c r="C332" s="673"/>
      <c r="D332" s="32">
        <f>D331+D324+D321</f>
        <v>107163.47</v>
      </c>
      <c r="E332" s="32">
        <f>E331+E324+E321</f>
        <v>5636.56</v>
      </c>
      <c r="F332" s="32">
        <f>F331+F324+F321</f>
        <v>20774.2</v>
      </c>
      <c r="G332" s="32">
        <f>G331+G324+G321</f>
        <v>42228.62</v>
      </c>
      <c r="H332" s="57">
        <f>H331+H324+H321</f>
        <v>175802.85</v>
      </c>
      <c r="I332" s="77"/>
      <c r="J332" s="12"/>
      <c r="K332" s="69">
        <f>K321+K331</f>
        <v>859440581.15999997</v>
      </c>
      <c r="L332" s="69">
        <f t="shared" ref="L332:M332" si="150">L321+L331</f>
        <v>45301370.079999998</v>
      </c>
      <c r="M332" s="69">
        <f t="shared" si="150"/>
        <v>84966478</v>
      </c>
      <c r="N332" s="69">
        <f>N321+N324+N331</f>
        <v>375037779.26999998</v>
      </c>
      <c r="O332" s="69">
        <f>O321+O331</f>
        <v>1364746208.51</v>
      </c>
    </row>
    <row r="333" spans="1:16" s="4" customFormat="1" ht="12.75" customHeight="1" x14ac:dyDescent="0.2">
      <c r="A333" s="686" t="s">
        <v>117</v>
      </c>
      <c r="B333" s="687"/>
      <c r="C333" s="687"/>
      <c r="D333" s="687"/>
      <c r="E333" s="687"/>
      <c r="F333" s="687"/>
      <c r="G333" s="687"/>
      <c r="H333" s="688"/>
      <c r="I333" s="75"/>
      <c r="J333" s="2"/>
      <c r="K333" s="61"/>
      <c r="L333" s="61"/>
      <c r="M333" s="61"/>
      <c r="N333" s="61"/>
      <c r="O333" s="61"/>
    </row>
    <row r="334" spans="1:16" s="4" customFormat="1" ht="30" customHeight="1" x14ac:dyDescent="0.2">
      <c r="A334" s="22">
        <v>36</v>
      </c>
      <c r="B334" s="51" t="s">
        <v>118</v>
      </c>
      <c r="C334" s="51" t="s">
        <v>119</v>
      </c>
      <c r="D334" s="24">
        <f>ROUND(D332*0.02,2)</f>
        <v>2143.27</v>
      </c>
      <c r="E334" s="24">
        <f>ROUND(E332*0.02,2)</f>
        <v>112.73</v>
      </c>
      <c r="F334" s="24">
        <f>ROUND(F332*0.02,2)</f>
        <v>415.48</v>
      </c>
      <c r="G334" s="24">
        <f>ROUND(G332*0.02,2)</f>
        <v>844.57</v>
      </c>
      <c r="H334" s="26">
        <f>D334+E334+F334+G334</f>
        <v>3516.05</v>
      </c>
      <c r="I334" s="76"/>
      <c r="J334" s="2"/>
      <c r="K334" s="61">
        <f>(K332+K406)*2%</f>
        <v>17246048.02</v>
      </c>
      <c r="L334" s="61">
        <f>(L332+L406)*2%</f>
        <v>909063.2</v>
      </c>
      <c r="M334" s="61">
        <f>M332*2%</f>
        <v>1699329.56</v>
      </c>
      <c r="N334" s="61">
        <f>N332*2%</f>
        <v>7500755.5899999999</v>
      </c>
      <c r="O334" s="61">
        <f>SUM(K334:N334)</f>
        <v>27355196.370000001</v>
      </c>
    </row>
    <row r="335" spans="1:16" s="4" customFormat="1" ht="12.75" customHeight="1" x14ac:dyDescent="0.2">
      <c r="A335" s="28"/>
      <c r="B335" s="673" t="s">
        <v>120</v>
      </c>
      <c r="C335" s="673"/>
      <c r="D335" s="24">
        <f>D334</f>
        <v>2143.27</v>
      </c>
      <c r="E335" s="24">
        <f>E334</f>
        <v>112.73</v>
      </c>
      <c r="F335" s="24">
        <f>F334</f>
        <v>415.48</v>
      </c>
      <c r="G335" s="24">
        <f>G334</f>
        <v>844.57</v>
      </c>
      <c r="H335" s="26">
        <f>H334</f>
        <v>3516.05</v>
      </c>
      <c r="I335" s="76"/>
      <c r="J335" s="2"/>
      <c r="K335" s="61"/>
      <c r="L335" s="61"/>
      <c r="M335" s="61"/>
      <c r="N335" s="61"/>
      <c r="O335" s="61"/>
    </row>
    <row r="336" spans="1:16" s="4" customFormat="1" ht="33.75" customHeight="1" x14ac:dyDescent="0.2">
      <c r="A336" s="28"/>
      <c r="B336" s="673" t="s">
        <v>121</v>
      </c>
      <c r="C336" s="673"/>
      <c r="D336" s="24">
        <f>D335+D332</f>
        <v>109306.74</v>
      </c>
      <c r="E336" s="24">
        <f>E335+E332</f>
        <v>5749.29</v>
      </c>
      <c r="F336" s="24">
        <f>F335+F332</f>
        <v>21189.68</v>
      </c>
      <c r="G336" s="24">
        <f>G335+G332</f>
        <v>43073.19</v>
      </c>
      <c r="H336" s="26">
        <f>H335+H332</f>
        <v>179318.9</v>
      </c>
      <c r="I336" s="76"/>
      <c r="J336" s="2"/>
      <c r="K336" s="428">
        <f>K332+K334</f>
        <v>876686629.17999995</v>
      </c>
      <c r="L336" s="428">
        <f t="shared" ref="L336:N336" si="151">L332+L334</f>
        <v>46210433.280000001</v>
      </c>
      <c r="M336" s="428">
        <f t="shared" si="151"/>
        <v>86665807.560000002</v>
      </c>
      <c r="N336" s="428">
        <f t="shared" si="151"/>
        <v>382538534.86000001</v>
      </c>
      <c r="O336" s="428">
        <f>O332+O334</f>
        <v>1392101404.8800001</v>
      </c>
    </row>
    <row r="337" spans="1:15" s="4" customFormat="1" ht="27.75" customHeight="1" x14ac:dyDescent="0.2">
      <c r="A337" s="28"/>
      <c r="B337" s="673" t="s">
        <v>122</v>
      </c>
      <c r="C337" s="673"/>
      <c r="D337" s="32">
        <f>D336</f>
        <v>109306.74</v>
      </c>
      <c r="E337" s="32">
        <f t="shared" ref="E337:H337" si="152">E336</f>
        <v>5749.29</v>
      </c>
      <c r="F337" s="32">
        <f t="shared" si="152"/>
        <v>21189.68</v>
      </c>
      <c r="G337" s="32">
        <f t="shared" si="152"/>
        <v>43073.19</v>
      </c>
      <c r="H337" s="32">
        <f t="shared" si="152"/>
        <v>179318.9</v>
      </c>
      <c r="I337" s="77"/>
      <c r="J337" s="2"/>
      <c r="K337" s="61"/>
      <c r="L337" s="61"/>
      <c r="M337" s="61"/>
      <c r="N337" s="61"/>
      <c r="O337" s="61"/>
    </row>
    <row r="338" spans="1:15" s="4" customFormat="1" ht="26.25" customHeight="1" thickBot="1" x14ac:dyDescent="0.25">
      <c r="A338" s="33"/>
      <c r="B338" s="34" t="s">
        <v>123</v>
      </c>
      <c r="C338" s="35" t="s">
        <v>124</v>
      </c>
      <c r="D338" s="36">
        <f>ROUND(D299*15%,2)</f>
        <v>353.19</v>
      </c>
      <c r="E338" s="36">
        <f>ROUND(E299*15%,2)</f>
        <v>18.82</v>
      </c>
      <c r="F338" s="37"/>
      <c r="G338" s="37"/>
      <c r="H338" s="38">
        <f>D338+E338+F338+G338</f>
        <v>372.01</v>
      </c>
      <c r="I338" s="78"/>
      <c r="J338" s="2"/>
      <c r="K338" s="69"/>
      <c r="L338" s="69"/>
      <c r="M338" s="69"/>
      <c r="N338" s="69"/>
      <c r="O338" s="69"/>
    </row>
    <row r="339" spans="1:15" s="4" customFormat="1" ht="12.75" hidden="1" customHeight="1" x14ac:dyDescent="0.2">
      <c r="A339" s="702" t="s">
        <v>125</v>
      </c>
      <c r="B339" s="702"/>
      <c r="C339" s="702"/>
      <c r="D339" s="702"/>
      <c r="E339" s="702"/>
      <c r="F339" s="702"/>
      <c r="G339" s="702"/>
      <c r="H339" s="702"/>
      <c r="I339" s="75"/>
      <c r="J339" s="2"/>
      <c r="K339" s="61"/>
      <c r="L339" s="61"/>
      <c r="M339" s="61"/>
      <c r="N339" s="61"/>
      <c r="O339" s="61"/>
    </row>
    <row r="340" spans="1:15" s="4" customFormat="1" hidden="1" x14ac:dyDescent="0.2">
      <c r="A340" s="39"/>
      <c r="B340" s="40"/>
      <c r="C340" s="41"/>
      <c r="D340" s="29"/>
      <c r="E340" s="29"/>
      <c r="F340" s="30"/>
      <c r="G340" s="30"/>
      <c r="H340" s="30"/>
      <c r="I340" s="79"/>
      <c r="J340" s="2"/>
      <c r="K340" s="61"/>
      <c r="L340" s="61"/>
      <c r="M340" s="61"/>
      <c r="N340" s="61"/>
      <c r="O340" s="61"/>
    </row>
    <row r="341" spans="1:15" s="4" customFormat="1" hidden="1" x14ac:dyDescent="0.2">
      <c r="A341" s="39"/>
      <c r="B341" s="42"/>
      <c r="C341" s="43" t="s">
        <v>126</v>
      </c>
      <c r="D341" s="44"/>
      <c r="E341" s="44"/>
      <c r="F341" s="30"/>
      <c r="G341" s="45">
        <f>G340</f>
        <v>0</v>
      </c>
      <c r="H341" s="45">
        <f>H340</f>
        <v>0</v>
      </c>
      <c r="I341" s="80"/>
      <c r="J341" s="2"/>
      <c r="K341" s="61"/>
      <c r="L341" s="61"/>
      <c r="M341" s="61"/>
      <c r="N341" s="61"/>
      <c r="O341" s="61"/>
    </row>
    <row r="342" spans="1:15" s="4" customFormat="1" x14ac:dyDescent="0.2">
      <c r="A342" s="39">
        <v>37</v>
      </c>
      <c r="B342" s="42"/>
      <c r="C342" s="46" t="s">
        <v>127</v>
      </c>
      <c r="D342" s="24">
        <f>ROUND((D39+D234+D253+D294+D297+D303)*1.02,2)</f>
        <v>102932.29</v>
      </c>
      <c r="E342" s="24">
        <f>ROUND((E39+E234+E253+E294+E297+E303)*1.02,2)</f>
        <v>5654.78</v>
      </c>
      <c r="F342" s="25"/>
      <c r="G342" s="25"/>
      <c r="H342" s="25">
        <f>D342+E342+F342+G342</f>
        <v>108587.07</v>
      </c>
      <c r="I342" s="78"/>
      <c r="J342" s="2"/>
      <c r="K342" s="61"/>
      <c r="L342" s="61"/>
      <c r="M342" s="61"/>
      <c r="N342" s="61"/>
      <c r="O342" s="61"/>
    </row>
    <row r="343" spans="1:15" s="4" customFormat="1" ht="25.5" x14ac:dyDescent="0.2">
      <c r="A343" s="39">
        <v>38</v>
      </c>
      <c r="B343" s="42"/>
      <c r="C343" s="46" t="s">
        <v>128</v>
      </c>
      <c r="D343" s="24">
        <f>ROUND(D236*1.02,2)</f>
        <v>1189.71</v>
      </c>
      <c r="E343" s="24">
        <f>ROUND(E236*1.02,2)</f>
        <v>81.040000000000006</v>
      </c>
      <c r="F343" s="25"/>
      <c r="G343" s="25"/>
      <c r="H343" s="25">
        <f t="shared" ref="H343:H363" si="153">D343+E343+F343+G343</f>
        <v>1270.75</v>
      </c>
      <c r="I343" s="78"/>
      <c r="J343" s="2"/>
      <c r="K343" s="61"/>
      <c r="L343" s="61"/>
      <c r="M343" s="61"/>
      <c r="N343" s="61"/>
      <c r="O343" s="61"/>
    </row>
    <row r="344" spans="1:15" s="4" customFormat="1" ht="25.5" x14ac:dyDescent="0.2">
      <c r="A344" s="39">
        <v>39</v>
      </c>
      <c r="B344" s="42"/>
      <c r="C344" s="46" t="s">
        <v>129</v>
      </c>
      <c r="D344" s="24">
        <f>ROUND(D255*1.02,2)</f>
        <v>1415.08</v>
      </c>
      <c r="E344" s="24">
        <f>ROUND(E255*1.02,2)</f>
        <v>9.6</v>
      </c>
      <c r="F344" s="25"/>
      <c r="G344" s="25"/>
      <c r="H344" s="25">
        <f t="shared" si="153"/>
        <v>1424.68</v>
      </c>
      <c r="I344" s="78"/>
      <c r="J344" s="2"/>
      <c r="K344" s="61"/>
      <c r="L344" s="61"/>
      <c r="M344" s="61"/>
      <c r="N344" s="61"/>
      <c r="O344" s="61"/>
    </row>
    <row r="345" spans="1:15" s="4" customFormat="1" ht="25.5" x14ac:dyDescent="0.2">
      <c r="A345" s="39">
        <v>40</v>
      </c>
      <c r="B345" s="42"/>
      <c r="C345" s="46" t="s">
        <v>130</v>
      </c>
      <c r="D345" s="24">
        <f>ROUND(D261*1.02,2)</f>
        <v>1894.79</v>
      </c>
      <c r="E345" s="24">
        <f>ROUND(E261*1.02,2)</f>
        <v>3.88</v>
      </c>
      <c r="F345" s="25"/>
      <c r="G345" s="25"/>
      <c r="H345" s="25">
        <f t="shared" si="153"/>
        <v>1898.67</v>
      </c>
      <c r="I345" s="78"/>
      <c r="J345" s="2"/>
      <c r="K345" s="61"/>
      <c r="L345" s="61"/>
      <c r="M345" s="61"/>
      <c r="N345" s="61"/>
      <c r="O345" s="61"/>
    </row>
    <row r="346" spans="1:15" s="4" customFormat="1" x14ac:dyDescent="0.2">
      <c r="A346" s="39">
        <v>41</v>
      </c>
      <c r="B346" s="42"/>
      <c r="C346" s="46" t="s">
        <v>131</v>
      </c>
      <c r="D346" s="24">
        <f>ROUND(D268*1.02,2)</f>
        <v>460.29</v>
      </c>
      <c r="E346" s="24"/>
      <c r="F346" s="25"/>
      <c r="G346" s="25"/>
      <c r="H346" s="25">
        <f t="shared" si="153"/>
        <v>460.29</v>
      </c>
      <c r="I346" s="78"/>
      <c r="J346" s="2"/>
      <c r="K346" s="61"/>
      <c r="L346" s="61"/>
      <c r="M346" s="61"/>
      <c r="N346" s="61"/>
      <c r="O346" s="61"/>
    </row>
    <row r="347" spans="1:15" s="4" customFormat="1" x14ac:dyDescent="0.2">
      <c r="A347" s="39">
        <v>42</v>
      </c>
      <c r="B347" s="42"/>
      <c r="C347" s="46" t="s">
        <v>132</v>
      </c>
      <c r="D347" s="24"/>
      <c r="E347" s="24"/>
      <c r="F347" s="25">
        <f>ROUND(F332*1.02,2)</f>
        <v>21189.68</v>
      </c>
      <c r="G347" s="25"/>
      <c r="H347" s="25">
        <f t="shared" si="153"/>
        <v>21189.68</v>
      </c>
      <c r="I347" s="78"/>
      <c r="J347" s="2"/>
      <c r="K347" s="61"/>
      <c r="L347" s="61"/>
      <c r="M347" s="61"/>
      <c r="N347" s="61"/>
      <c r="O347" s="61"/>
    </row>
    <row r="348" spans="1:15" s="4" customFormat="1" hidden="1" x14ac:dyDescent="0.2">
      <c r="A348" s="39">
        <v>45</v>
      </c>
      <c r="B348" s="42"/>
      <c r="C348" s="43" t="s">
        <v>133</v>
      </c>
      <c r="D348" s="32"/>
      <c r="E348" s="32"/>
      <c r="F348" s="47"/>
      <c r="G348" s="47">
        <f>ROUND((G304+G308)*1.02,2)</f>
        <v>816.14</v>
      </c>
      <c r="H348" s="47">
        <f t="shared" si="153"/>
        <v>816.14</v>
      </c>
      <c r="I348" s="81"/>
      <c r="J348" s="2"/>
      <c r="K348" s="61"/>
      <c r="L348" s="61"/>
      <c r="M348" s="61"/>
      <c r="N348" s="61"/>
      <c r="O348" s="61"/>
    </row>
    <row r="349" spans="1:15" s="4" customFormat="1" hidden="1" x14ac:dyDescent="0.2">
      <c r="A349" s="39">
        <v>46</v>
      </c>
      <c r="B349" s="42"/>
      <c r="C349" s="43" t="s">
        <v>134</v>
      </c>
      <c r="D349" s="32"/>
      <c r="E349" s="32"/>
      <c r="F349" s="47"/>
      <c r="G349" s="47">
        <f>ROUND(G37*1.02,2)</f>
        <v>1485.76</v>
      </c>
      <c r="H349" s="47">
        <f t="shared" si="153"/>
        <v>1485.76</v>
      </c>
      <c r="I349" s="81"/>
      <c r="J349" s="2"/>
      <c r="K349" s="61"/>
      <c r="L349" s="61"/>
      <c r="M349" s="61"/>
      <c r="N349" s="61"/>
      <c r="O349" s="61"/>
    </row>
    <row r="350" spans="1:15" s="4" customFormat="1" hidden="1" x14ac:dyDescent="0.2">
      <c r="A350" s="39">
        <v>47</v>
      </c>
      <c r="B350" s="42"/>
      <c r="C350" s="43" t="s">
        <v>135</v>
      </c>
      <c r="D350" s="32"/>
      <c r="E350" s="32"/>
      <c r="F350" s="47"/>
      <c r="G350" s="47">
        <f>ROUND(G38*1.02,2)</f>
        <v>3.8</v>
      </c>
      <c r="H350" s="47">
        <f t="shared" si="153"/>
        <v>3.8</v>
      </c>
      <c r="I350" s="81"/>
      <c r="J350" s="2"/>
      <c r="K350" s="61"/>
      <c r="L350" s="61"/>
      <c r="M350" s="61"/>
      <c r="N350" s="61"/>
      <c r="O350" s="61"/>
    </row>
    <row r="351" spans="1:15" s="4" customFormat="1" hidden="1" x14ac:dyDescent="0.2">
      <c r="A351" s="39">
        <v>48</v>
      </c>
      <c r="B351" s="42"/>
      <c r="C351" s="43" t="s">
        <v>136</v>
      </c>
      <c r="D351" s="32"/>
      <c r="E351" s="32"/>
      <c r="F351" s="47"/>
      <c r="G351" s="47">
        <f>ROUND(G312*1.02,2)</f>
        <v>6.11</v>
      </c>
      <c r="H351" s="47">
        <f t="shared" si="153"/>
        <v>6.11</v>
      </c>
      <c r="I351" s="81"/>
      <c r="J351" s="2"/>
      <c r="K351" s="61"/>
      <c r="L351" s="61"/>
      <c r="M351" s="61"/>
      <c r="N351" s="61"/>
      <c r="O351" s="61"/>
    </row>
    <row r="352" spans="1:15" s="4" customFormat="1" ht="25.5" hidden="1" x14ac:dyDescent="0.2">
      <c r="A352" s="39">
        <v>49</v>
      </c>
      <c r="B352" s="42"/>
      <c r="C352" s="43" t="s">
        <v>87</v>
      </c>
      <c r="D352" s="32"/>
      <c r="E352" s="32"/>
      <c r="F352" s="47"/>
      <c r="G352" s="47">
        <f>ROUND(G313*1.02,2)</f>
        <v>54.76</v>
      </c>
      <c r="H352" s="47">
        <f t="shared" si="153"/>
        <v>54.76</v>
      </c>
      <c r="I352" s="81"/>
      <c r="J352" s="2"/>
      <c r="K352" s="61"/>
      <c r="L352" s="61"/>
      <c r="M352" s="61"/>
      <c r="N352" s="61"/>
      <c r="O352" s="61"/>
    </row>
    <row r="353" spans="1:15" s="4" customFormat="1" hidden="1" x14ac:dyDescent="0.2">
      <c r="A353" s="39">
        <v>50</v>
      </c>
      <c r="B353" s="42"/>
      <c r="C353" s="43" t="s">
        <v>137</v>
      </c>
      <c r="D353" s="32"/>
      <c r="E353" s="32"/>
      <c r="F353" s="47"/>
      <c r="G353" s="47">
        <f>ROUND(G314*1.02,2)</f>
        <v>21644.41</v>
      </c>
      <c r="H353" s="47">
        <f t="shared" si="153"/>
        <v>21644.41</v>
      </c>
      <c r="I353" s="81"/>
      <c r="J353" s="2"/>
      <c r="K353" s="61"/>
      <c r="L353" s="61"/>
      <c r="M353" s="61"/>
      <c r="N353" s="61"/>
      <c r="O353" s="61"/>
    </row>
    <row r="354" spans="1:15" s="4" customFormat="1" hidden="1" x14ac:dyDescent="0.2">
      <c r="A354" s="39">
        <v>51</v>
      </c>
      <c r="B354" s="42"/>
      <c r="C354" s="43" t="s">
        <v>138</v>
      </c>
      <c r="D354" s="47">
        <f>ROUND(D315*1.02,2)</f>
        <v>842.52</v>
      </c>
      <c r="E354" s="32"/>
      <c r="F354" s="47"/>
      <c r="G354" s="48"/>
      <c r="H354" s="47">
        <f t="shared" si="153"/>
        <v>842.52</v>
      </c>
      <c r="I354" s="81"/>
      <c r="J354" s="2"/>
      <c r="K354" s="61"/>
      <c r="L354" s="61"/>
      <c r="M354" s="61"/>
      <c r="N354" s="61"/>
      <c r="O354" s="61"/>
    </row>
    <row r="355" spans="1:15" s="4" customFormat="1" hidden="1" x14ac:dyDescent="0.2">
      <c r="A355" s="39"/>
      <c r="B355" s="42"/>
      <c r="C355" s="43" t="s">
        <v>95</v>
      </c>
      <c r="D355" s="47">
        <f>ROUND(D317*1.02,2)</f>
        <v>572.07000000000005</v>
      </c>
      <c r="E355" s="32"/>
      <c r="F355" s="47"/>
      <c r="G355" s="25"/>
      <c r="H355" s="47">
        <f t="shared" si="153"/>
        <v>572.07000000000005</v>
      </c>
      <c r="I355" s="81"/>
      <c r="J355" s="2"/>
      <c r="K355" s="61"/>
      <c r="L355" s="61"/>
      <c r="M355" s="61"/>
      <c r="N355" s="61"/>
      <c r="O355" s="61"/>
    </row>
    <row r="356" spans="1:15" s="4" customFormat="1" hidden="1" x14ac:dyDescent="0.2">
      <c r="A356" s="39">
        <v>52</v>
      </c>
      <c r="B356" s="42"/>
      <c r="C356" s="43" t="s">
        <v>139</v>
      </c>
      <c r="D356" s="32"/>
      <c r="E356" s="32"/>
      <c r="F356" s="47"/>
      <c r="G356" s="47">
        <f>ROUND(G316*1.02,2)</f>
        <v>5207.74</v>
      </c>
      <c r="H356" s="47">
        <f t="shared" si="153"/>
        <v>5207.74</v>
      </c>
      <c r="I356" s="81"/>
      <c r="J356" s="2"/>
      <c r="K356" s="61"/>
      <c r="L356" s="61"/>
      <c r="M356" s="61"/>
      <c r="N356" s="61"/>
      <c r="O356" s="61"/>
    </row>
    <row r="357" spans="1:15" s="4" customFormat="1" ht="25.5" hidden="1" x14ac:dyDescent="0.2">
      <c r="A357" s="39">
        <v>53</v>
      </c>
      <c r="B357" s="42"/>
      <c r="C357" s="43" t="s">
        <v>140</v>
      </c>
      <c r="D357" s="32"/>
      <c r="E357" s="32"/>
      <c r="F357" s="47"/>
      <c r="G357" s="47">
        <f>ROUND(G318*1.02,2)</f>
        <v>13.85</v>
      </c>
      <c r="H357" s="47">
        <f t="shared" si="153"/>
        <v>13.85</v>
      </c>
      <c r="I357" s="81"/>
      <c r="J357" s="2"/>
      <c r="K357" s="61"/>
      <c r="L357" s="61"/>
      <c r="M357" s="61"/>
      <c r="N357" s="61"/>
      <c r="O357" s="61"/>
    </row>
    <row r="358" spans="1:15" s="4" customFormat="1" hidden="1" x14ac:dyDescent="0.2">
      <c r="A358" s="39">
        <v>54</v>
      </c>
      <c r="B358" s="42"/>
      <c r="C358" s="43" t="s">
        <v>141</v>
      </c>
      <c r="D358" s="32"/>
      <c r="E358" s="32"/>
      <c r="F358" s="47"/>
      <c r="G358" s="47">
        <f>ROUND(G319*1.02,2)</f>
        <v>1063.81</v>
      </c>
      <c r="H358" s="47">
        <f t="shared" si="153"/>
        <v>1063.81</v>
      </c>
      <c r="I358" s="81"/>
      <c r="J358" s="2"/>
      <c r="K358" s="61"/>
      <c r="L358" s="61"/>
      <c r="M358" s="61"/>
      <c r="N358" s="61"/>
      <c r="O358" s="61"/>
    </row>
    <row r="359" spans="1:15" s="4" customFormat="1" hidden="1" x14ac:dyDescent="0.2">
      <c r="A359" s="39">
        <v>55</v>
      </c>
      <c r="B359" s="42"/>
      <c r="C359" s="43" t="s">
        <v>142</v>
      </c>
      <c r="D359" s="32"/>
      <c r="E359" s="32"/>
      <c r="F359" s="47"/>
      <c r="G359" s="47">
        <f>ROUND(G323*1.02,2)</f>
        <v>0</v>
      </c>
      <c r="H359" s="47">
        <f t="shared" si="153"/>
        <v>0</v>
      </c>
      <c r="I359" s="81"/>
      <c r="J359" s="2"/>
      <c r="K359" s="61"/>
      <c r="L359" s="61"/>
      <c r="M359" s="61"/>
      <c r="N359" s="61"/>
      <c r="O359" s="61"/>
    </row>
    <row r="360" spans="1:15" s="4" customFormat="1" hidden="1" x14ac:dyDescent="0.2">
      <c r="A360" s="39">
        <v>56</v>
      </c>
      <c r="B360" s="42"/>
      <c r="C360" s="43" t="s">
        <v>108</v>
      </c>
      <c r="D360" s="32"/>
      <c r="E360" s="32"/>
      <c r="F360" s="47"/>
      <c r="G360" s="47">
        <f>ROUND(G326*1.02,2)</f>
        <v>0</v>
      </c>
      <c r="H360" s="47">
        <f t="shared" si="153"/>
        <v>0</v>
      </c>
      <c r="I360" s="81"/>
      <c r="J360" s="2"/>
      <c r="K360" s="61"/>
      <c r="L360" s="61"/>
      <c r="M360" s="61"/>
      <c r="N360" s="61"/>
      <c r="O360" s="61"/>
    </row>
    <row r="361" spans="1:15" s="4" customFormat="1" hidden="1" x14ac:dyDescent="0.2">
      <c r="A361" s="39">
        <v>57</v>
      </c>
      <c r="B361" s="42"/>
      <c r="C361" s="43" t="s">
        <v>143</v>
      </c>
      <c r="D361" s="32"/>
      <c r="E361" s="32"/>
      <c r="F361" s="47"/>
      <c r="G361" s="47">
        <f>ROUND((G327+G328)*1.02,2)</f>
        <v>12776.8</v>
      </c>
      <c r="H361" s="47">
        <f t="shared" si="153"/>
        <v>12776.8</v>
      </c>
      <c r="I361" s="81"/>
      <c r="J361" s="2"/>
      <c r="K361" s="61"/>
      <c r="L361" s="61"/>
      <c r="M361" s="61"/>
      <c r="N361" s="61"/>
      <c r="O361" s="61"/>
    </row>
    <row r="362" spans="1:15" s="4" customFormat="1" hidden="1" x14ac:dyDescent="0.2">
      <c r="A362" s="39">
        <v>59</v>
      </c>
      <c r="B362" s="42"/>
      <c r="C362" s="43" t="s">
        <v>144</v>
      </c>
      <c r="D362" s="32"/>
      <c r="E362" s="32"/>
      <c r="F362" s="47"/>
      <c r="G362" s="47">
        <f>ROUND(G330*1.02,2)</f>
        <v>0</v>
      </c>
      <c r="H362" s="47">
        <f t="shared" si="153"/>
        <v>0</v>
      </c>
      <c r="I362" s="81"/>
      <c r="J362" s="2"/>
      <c r="K362" s="61"/>
      <c r="L362" s="61"/>
      <c r="M362" s="61"/>
      <c r="N362" s="61"/>
      <c r="O362" s="61"/>
    </row>
    <row r="363" spans="1:15" s="4" customFormat="1" hidden="1" x14ac:dyDescent="0.2">
      <c r="A363" s="39">
        <v>60</v>
      </c>
      <c r="B363" s="42"/>
      <c r="C363" s="43" t="s">
        <v>145</v>
      </c>
      <c r="D363" s="32"/>
      <c r="E363" s="32"/>
      <c r="F363" s="47"/>
      <c r="G363" s="47">
        <f>ROUND(G329*1.02,2)</f>
        <v>0</v>
      </c>
      <c r="H363" s="47">
        <f t="shared" si="153"/>
        <v>0</v>
      </c>
      <c r="I363" s="81"/>
      <c r="J363" s="2"/>
      <c r="K363" s="61"/>
      <c r="L363" s="61"/>
      <c r="M363" s="61"/>
      <c r="N363" s="61"/>
      <c r="O363" s="61"/>
    </row>
    <row r="364" spans="1:15" s="4" customFormat="1" hidden="1" x14ac:dyDescent="0.2">
      <c r="A364" s="39">
        <v>61</v>
      </c>
      <c r="B364" s="42"/>
      <c r="C364" s="43" t="s">
        <v>146</v>
      </c>
      <c r="D364" s="32">
        <f>SUM(D342:D363)</f>
        <v>109306.75</v>
      </c>
      <c r="E364" s="32">
        <f>SUM(E342:E363)</f>
        <v>5749.3</v>
      </c>
      <c r="F364" s="32">
        <f>SUM(F342:F363)</f>
        <v>21189.68</v>
      </c>
      <c r="G364" s="32">
        <f>SUM(G342:G363)</f>
        <v>43073.18</v>
      </c>
      <c r="H364" s="32">
        <f>SUM(H342:H363)</f>
        <v>179318.91</v>
      </c>
      <c r="I364" s="77"/>
      <c r="J364" s="2"/>
      <c r="K364" s="61"/>
      <c r="L364" s="61"/>
      <c r="M364" s="61"/>
      <c r="N364" s="61"/>
      <c r="O364" s="61"/>
    </row>
    <row r="365" spans="1:15" s="4" customFormat="1" x14ac:dyDescent="0.2">
      <c r="A365" s="39"/>
      <c r="B365" s="42"/>
      <c r="C365" s="43"/>
      <c r="D365" s="32"/>
      <c r="E365" s="32"/>
      <c r="F365" s="47"/>
      <c r="G365" s="47"/>
      <c r="H365" s="47"/>
      <c r="I365" s="81"/>
      <c r="J365" s="2"/>
      <c r="K365" s="61"/>
      <c r="L365" s="61"/>
      <c r="M365" s="61"/>
      <c r="N365" s="61"/>
      <c r="O365" s="61"/>
    </row>
    <row r="366" spans="1:15" s="4" customFormat="1" ht="18" customHeight="1" x14ac:dyDescent="0.2">
      <c r="A366" s="39"/>
      <c r="B366" s="703" t="s">
        <v>147</v>
      </c>
      <c r="C366" s="703"/>
      <c r="D366" s="30"/>
      <c r="E366" s="30"/>
      <c r="F366" s="30"/>
      <c r="G366" s="30"/>
      <c r="H366" s="30"/>
      <c r="I366" s="79"/>
      <c r="J366" s="2"/>
      <c r="K366" s="61"/>
      <c r="L366" s="61"/>
      <c r="M366" s="61"/>
      <c r="N366" s="61"/>
      <c r="O366" s="61"/>
    </row>
    <row r="367" spans="1:15" s="4" customFormat="1" ht="63.75" x14ac:dyDescent="0.2">
      <c r="A367" s="39">
        <v>43</v>
      </c>
      <c r="B367" s="51" t="s">
        <v>148</v>
      </c>
      <c r="C367" s="50" t="s">
        <v>149</v>
      </c>
      <c r="D367" s="25">
        <f>ROUND(D342*8.1,2)</f>
        <v>833751.55</v>
      </c>
      <c r="E367" s="25">
        <f>ROUND(E342*8.1,2)</f>
        <v>45803.72</v>
      </c>
      <c r="F367" s="25"/>
      <c r="G367" s="25"/>
      <c r="H367" s="25">
        <f t="shared" ref="H367:H390" si="154">D367+E367+F367+G367</f>
        <v>879555.27</v>
      </c>
      <c r="I367" s="78"/>
      <c r="J367" s="2"/>
      <c r="K367" s="61"/>
      <c r="L367" s="61"/>
      <c r="M367" s="61"/>
      <c r="N367" s="61"/>
      <c r="O367" s="61"/>
    </row>
    <row r="368" spans="1:15" s="4" customFormat="1" ht="76.5" x14ac:dyDescent="0.2">
      <c r="A368" s="39">
        <v>44</v>
      </c>
      <c r="B368" s="51" t="s">
        <v>150</v>
      </c>
      <c r="C368" s="50" t="s">
        <v>151</v>
      </c>
      <c r="D368" s="25">
        <f>ROUND((D343)*5.55,2)</f>
        <v>6602.89</v>
      </c>
      <c r="E368" s="25">
        <f>ROUND((E343)*5.55,2)</f>
        <v>449.77</v>
      </c>
      <c r="F368" s="25"/>
      <c r="G368" s="25"/>
      <c r="H368" s="25">
        <f t="shared" si="154"/>
        <v>7052.66</v>
      </c>
      <c r="I368" s="78"/>
      <c r="J368" s="2"/>
      <c r="K368" s="61"/>
      <c r="L368" s="61"/>
      <c r="M368" s="61"/>
      <c r="N368" s="61"/>
      <c r="O368" s="61"/>
    </row>
    <row r="369" spans="1:15" s="4" customFormat="1" ht="76.5" x14ac:dyDescent="0.2">
      <c r="A369" s="39">
        <v>45</v>
      </c>
      <c r="B369" s="51" t="s">
        <v>152</v>
      </c>
      <c r="C369" s="50" t="s">
        <v>153</v>
      </c>
      <c r="D369" s="25">
        <f>ROUND(D344*8.98,2)</f>
        <v>12707.42</v>
      </c>
      <c r="E369" s="25">
        <f>ROUND(E344*8.98,2)</f>
        <v>86.21</v>
      </c>
      <c r="F369" s="25"/>
      <c r="G369" s="25"/>
      <c r="H369" s="25">
        <f t="shared" si="154"/>
        <v>12793.63</v>
      </c>
      <c r="I369" s="78"/>
      <c r="J369" s="2"/>
      <c r="K369" s="61"/>
      <c r="L369" s="61"/>
      <c r="M369" s="61"/>
      <c r="N369" s="61"/>
      <c r="O369" s="61"/>
    </row>
    <row r="370" spans="1:15" s="4" customFormat="1" ht="76.5" x14ac:dyDescent="0.2">
      <c r="A370" s="39">
        <v>46</v>
      </c>
      <c r="B370" s="51" t="s">
        <v>154</v>
      </c>
      <c r="C370" s="50" t="s">
        <v>155</v>
      </c>
      <c r="D370" s="25">
        <f>ROUND(D345*5.99,2)</f>
        <v>11349.79</v>
      </c>
      <c r="E370" s="25">
        <f>ROUND(E345*5.99,2)</f>
        <v>23.24</v>
      </c>
      <c r="F370" s="25"/>
      <c r="G370" s="25"/>
      <c r="H370" s="25">
        <f t="shared" si="154"/>
        <v>11373.03</v>
      </c>
      <c r="I370" s="78"/>
      <c r="J370" s="2"/>
      <c r="K370" s="61"/>
      <c r="L370" s="61"/>
      <c r="M370" s="61"/>
      <c r="N370" s="61"/>
      <c r="O370" s="61"/>
    </row>
    <row r="371" spans="1:15" s="4" customFormat="1" ht="76.5" x14ac:dyDescent="0.2">
      <c r="A371" s="39">
        <v>47</v>
      </c>
      <c r="B371" s="51" t="s">
        <v>156</v>
      </c>
      <c r="C371" s="50" t="s">
        <v>157</v>
      </c>
      <c r="D371" s="25">
        <f>ROUND(D346*7.99,2)</f>
        <v>3677.72</v>
      </c>
      <c r="E371" s="25"/>
      <c r="F371" s="25"/>
      <c r="G371" s="25"/>
      <c r="H371" s="25">
        <f t="shared" si="154"/>
        <v>3677.72</v>
      </c>
      <c r="I371" s="78"/>
      <c r="J371" s="2"/>
      <c r="K371" s="61"/>
      <c r="L371" s="61"/>
      <c r="M371" s="61"/>
      <c r="N371" s="61"/>
      <c r="O371" s="61"/>
    </row>
    <row r="372" spans="1:15" s="4" customFormat="1" ht="76.5" x14ac:dyDescent="0.2">
      <c r="A372" s="39">
        <v>48</v>
      </c>
      <c r="B372" s="51" t="s">
        <v>158</v>
      </c>
      <c r="C372" s="50" t="s">
        <v>159</v>
      </c>
      <c r="D372" s="25"/>
      <c r="E372" s="25"/>
      <c r="F372" s="25">
        <f>ROUND(F347*4.09,2)</f>
        <v>86665.79</v>
      </c>
      <c r="G372" s="25"/>
      <c r="H372" s="25">
        <f t="shared" si="154"/>
        <v>86665.79</v>
      </c>
      <c r="I372" s="78"/>
      <c r="J372" s="2"/>
      <c r="K372" s="61"/>
      <c r="L372" s="61"/>
      <c r="M372" s="61"/>
      <c r="N372" s="61"/>
      <c r="O372" s="61"/>
    </row>
    <row r="373" spans="1:15" s="4" customFormat="1" ht="51" x14ac:dyDescent="0.2">
      <c r="A373" s="39">
        <v>49</v>
      </c>
      <c r="B373" s="51" t="s">
        <v>160</v>
      </c>
      <c r="C373" s="51" t="s">
        <v>161</v>
      </c>
      <c r="D373" s="25"/>
      <c r="E373" s="25"/>
      <c r="F373" s="25"/>
      <c r="G373" s="170">
        <f>ROUND(G349*4.35*1.266,2)</f>
        <v>8182.23</v>
      </c>
      <c r="H373" s="25">
        <f t="shared" si="154"/>
        <v>8182.23</v>
      </c>
      <c r="I373" s="78"/>
      <c r="J373" s="2"/>
      <c r="K373" s="61"/>
      <c r="L373" s="61"/>
      <c r="M373" s="61"/>
      <c r="N373" s="61"/>
      <c r="O373" s="61"/>
    </row>
    <row r="374" spans="1:15" s="4" customFormat="1" ht="76.5" x14ac:dyDescent="0.2">
      <c r="A374" s="39">
        <v>50</v>
      </c>
      <c r="B374" s="51" t="s">
        <v>158</v>
      </c>
      <c r="C374" s="51" t="s">
        <v>162</v>
      </c>
      <c r="D374" s="25"/>
      <c r="E374" s="25"/>
      <c r="F374" s="25"/>
      <c r="G374" s="170">
        <f>ROUND(G350*10.79,2)</f>
        <v>41</v>
      </c>
      <c r="H374" s="25">
        <f t="shared" si="154"/>
        <v>41</v>
      </c>
      <c r="I374" s="78"/>
      <c r="J374" s="2"/>
      <c r="K374" s="61"/>
      <c r="L374" s="61"/>
      <c r="M374" s="61"/>
      <c r="N374" s="61"/>
      <c r="O374" s="61"/>
    </row>
    <row r="375" spans="1:15" s="4" customFormat="1" ht="68.25" x14ac:dyDescent="0.2">
      <c r="A375" s="39">
        <v>51</v>
      </c>
      <c r="B375" s="51" t="s">
        <v>163</v>
      </c>
      <c r="C375" s="51" t="s">
        <v>164</v>
      </c>
      <c r="D375" s="24"/>
      <c r="E375" s="25"/>
      <c r="F375" s="25"/>
      <c r="G375" s="170">
        <f>ROUND(G348*15.92,2)</f>
        <v>12992.95</v>
      </c>
      <c r="H375" s="25">
        <f t="shared" si="154"/>
        <v>12992.95</v>
      </c>
      <c r="I375" s="78"/>
      <c r="J375" s="2"/>
      <c r="K375" s="61"/>
      <c r="L375" s="61"/>
      <c r="M375" s="61"/>
      <c r="N375" s="61"/>
      <c r="O375" s="61"/>
    </row>
    <row r="376" spans="1:15" s="4" customFormat="1" ht="63.75" x14ac:dyDescent="0.2">
      <c r="A376" s="39">
        <v>52</v>
      </c>
      <c r="B376" s="51" t="s">
        <v>148</v>
      </c>
      <c r="C376" s="46" t="s">
        <v>165</v>
      </c>
      <c r="D376" s="24">
        <f>ROUND(D354*8.1,2)</f>
        <v>6824.41</v>
      </c>
      <c r="E376" s="25"/>
      <c r="F376" s="25"/>
      <c r="G376" s="25"/>
      <c r="H376" s="25">
        <f t="shared" si="154"/>
        <v>6824.41</v>
      </c>
      <c r="I376" s="78"/>
      <c r="J376" s="2"/>
      <c r="K376" s="61"/>
      <c r="L376" s="61"/>
      <c r="M376" s="61"/>
      <c r="N376" s="61"/>
      <c r="O376" s="61"/>
    </row>
    <row r="377" spans="1:15" s="4" customFormat="1" ht="63.75" x14ac:dyDescent="0.2">
      <c r="A377" s="39">
        <v>53</v>
      </c>
      <c r="B377" s="51" t="s">
        <v>148</v>
      </c>
      <c r="C377" s="46" t="s">
        <v>166</v>
      </c>
      <c r="D377" s="24">
        <f>ROUND(D355*8.1,2)</f>
        <v>4633.7700000000004</v>
      </c>
      <c r="E377" s="25"/>
      <c r="F377" s="25"/>
      <c r="G377" s="25"/>
      <c r="H377" s="25">
        <f t="shared" si="154"/>
        <v>4633.7700000000004</v>
      </c>
      <c r="I377" s="78"/>
      <c r="J377" s="2"/>
      <c r="K377" s="61"/>
      <c r="L377" s="61"/>
      <c r="M377" s="61"/>
      <c r="N377" s="61"/>
      <c r="O377" s="61"/>
    </row>
    <row r="378" spans="1:15" s="4" customFormat="1" ht="76.5" x14ac:dyDescent="0.2">
      <c r="A378" s="39">
        <v>54</v>
      </c>
      <c r="B378" s="51" t="s">
        <v>158</v>
      </c>
      <c r="C378" s="51" t="s">
        <v>167</v>
      </c>
      <c r="D378" s="24"/>
      <c r="E378" s="25"/>
      <c r="F378" s="25"/>
      <c r="G378" s="170">
        <f>ROUND(G351*10.79,2)</f>
        <v>65.930000000000007</v>
      </c>
      <c r="H378" s="25">
        <f t="shared" si="154"/>
        <v>65.930000000000007</v>
      </c>
      <c r="I378" s="78"/>
      <c r="J378" s="2"/>
      <c r="K378" s="61"/>
      <c r="L378" s="61"/>
      <c r="M378" s="61"/>
      <c r="N378" s="61"/>
      <c r="O378" s="61"/>
    </row>
    <row r="379" spans="1:15" s="4" customFormat="1" ht="76.5" x14ac:dyDescent="0.2">
      <c r="A379" s="39">
        <v>55</v>
      </c>
      <c r="B379" s="51" t="s">
        <v>158</v>
      </c>
      <c r="C379" s="51" t="s">
        <v>168</v>
      </c>
      <c r="D379" s="24"/>
      <c r="E379" s="25"/>
      <c r="F379" s="25"/>
      <c r="G379" s="170">
        <f>ROUND(G352*10.79,2)</f>
        <v>590.86</v>
      </c>
      <c r="H379" s="25">
        <f t="shared" si="154"/>
        <v>590.86</v>
      </c>
      <c r="I379" s="78"/>
      <c r="J379" s="2"/>
      <c r="K379" s="61"/>
      <c r="L379" s="61"/>
      <c r="M379" s="61"/>
      <c r="N379" s="61"/>
      <c r="O379" s="61"/>
    </row>
    <row r="380" spans="1:15" s="4" customFormat="1" ht="76.5" x14ac:dyDescent="0.2">
      <c r="A380" s="39">
        <v>56</v>
      </c>
      <c r="B380" s="51" t="s">
        <v>158</v>
      </c>
      <c r="C380" s="51" t="s">
        <v>169</v>
      </c>
      <c r="D380" s="24"/>
      <c r="E380" s="25"/>
      <c r="F380" s="25"/>
      <c r="G380" s="170">
        <f>ROUND(G353*10.79,2)</f>
        <v>233543.18</v>
      </c>
      <c r="H380" s="25">
        <f t="shared" si="154"/>
        <v>233543.18</v>
      </c>
      <c r="I380" s="78"/>
      <c r="J380" s="2"/>
      <c r="K380" s="61"/>
      <c r="L380" s="61"/>
      <c r="M380" s="61"/>
      <c r="N380" s="61"/>
      <c r="O380" s="61"/>
    </row>
    <row r="381" spans="1:15" s="4" customFormat="1" ht="76.5" x14ac:dyDescent="0.2">
      <c r="A381" s="39">
        <v>57</v>
      </c>
      <c r="B381" s="51" t="s">
        <v>158</v>
      </c>
      <c r="C381" s="51" t="s">
        <v>170</v>
      </c>
      <c r="D381" s="24"/>
      <c r="E381" s="25"/>
      <c r="F381" s="25"/>
      <c r="G381" s="170">
        <f>ROUND(G356*10.79,2)</f>
        <v>56191.51</v>
      </c>
      <c r="H381" s="25">
        <f t="shared" si="154"/>
        <v>56191.51</v>
      </c>
      <c r="I381" s="78"/>
      <c r="J381" s="2"/>
      <c r="K381" s="61"/>
      <c r="L381" s="61"/>
      <c r="M381" s="61"/>
      <c r="N381" s="61"/>
      <c r="O381" s="61"/>
    </row>
    <row r="382" spans="1:15" s="4" customFormat="1" hidden="1" x14ac:dyDescent="0.2">
      <c r="A382" s="39">
        <v>58</v>
      </c>
      <c r="B382" s="51"/>
      <c r="C382" s="51"/>
      <c r="D382" s="24"/>
      <c r="E382" s="25"/>
      <c r="F382" s="25"/>
      <c r="G382" s="25"/>
      <c r="H382" s="25"/>
      <c r="I382" s="78"/>
      <c r="J382" s="2"/>
      <c r="K382" s="61"/>
      <c r="L382" s="61"/>
      <c r="M382" s="61"/>
      <c r="N382" s="61"/>
      <c r="O382" s="61"/>
    </row>
    <row r="383" spans="1:15" s="4" customFormat="1" ht="76.5" x14ac:dyDescent="0.2">
      <c r="A383" s="39">
        <v>59</v>
      </c>
      <c r="B383" s="51" t="s">
        <v>158</v>
      </c>
      <c r="C383" s="51" t="s">
        <v>171</v>
      </c>
      <c r="D383" s="24"/>
      <c r="E383" s="25"/>
      <c r="F383" s="25"/>
      <c r="G383" s="170">
        <f>ROUND(G357*10.79,2)</f>
        <v>149.44</v>
      </c>
      <c r="H383" s="25">
        <f t="shared" si="154"/>
        <v>149.44</v>
      </c>
      <c r="I383" s="78"/>
      <c r="J383" s="2"/>
      <c r="K383" s="61"/>
      <c r="L383" s="61"/>
      <c r="M383" s="61"/>
      <c r="N383" s="61"/>
      <c r="O383" s="61"/>
    </row>
    <row r="384" spans="1:15" s="4" customFormat="1" hidden="1" x14ac:dyDescent="0.2">
      <c r="A384" s="39">
        <v>60</v>
      </c>
      <c r="B384" s="51"/>
      <c r="C384" s="51"/>
      <c r="D384" s="24"/>
      <c r="E384" s="25"/>
      <c r="F384" s="25"/>
      <c r="G384" s="25"/>
      <c r="H384" s="25"/>
      <c r="I384" s="78"/>
      <c r="J384" s="2"/>
      <c r="K384" s="61"/>
      <c r="L384" s="61"/>
      <c r="M384" s="61"/>
      <c r="N384" s="61"/>
      <c r="O384" s="61"/>
    </row>
    <row r="385" spans="1:15" s="4" customFormat="1" ht="51" x14ac:dyDescent="0.2">
      <c r="A385" s="39">
        <v>61</v>
      </c>
      <c r="B385" s="51" t="s">
        <v>160</v>
      </c>
      <c r="C385" s="51" t="s">
        <v>172</v>
      </c>
      <c r="D385" s="24"/>
      <c r="E385" s="25"/>
      <c r="F385" s="25"/>
      <c r="G385" s="170">
        <f>ROUND(G358*4.35*1.266,2)</f>
        <v>5858.51</v>
      </c>
      <c r="H385" s="25">
        <f t="shared" si="154"/>
        <v>5858.51</v>
      </c>
      <c r="I385" s="78"/>
      <c r="J385" s="2"/>
      <c r="K385" s="61"/>
      <c r="L385" s="61"/>
      <c r="M385" s="61"/>
      <c r="N385" s="61"/>
      <c r="O385" s="61"/>
    </row>
    <row r="386" spans="1:15" s="4" customFormat="1" ht="51" x14ac:dyDescent="0.2">
      <c r="A386" s="39">
        <v>62</v>
      </c>
      <c r="B386" s="51" t="s">
        <v>103</v>
      </c>
      <c r="C386" s="51" t="s">
        <v>173</v>
      </c>
      <c r="D386" s="25"/>
      <c r="E386" s="25"/>
      <c r="F386" s="25"/>
      <c r="G386" s="170">
        <f>ROUND(G359*10.79,2)</f>
        <v>0</v>
      </c>
      <c r="H386" s="25">
        <f t="shared" si="154"/>
        <v>0</v>
      </c>
      <c r="I386" s="78">
        <f>G386*1.02*1.2</f>
        <v>0</v>
      </c>
      <c r="J386" s="2"/>
      <c r="K386" s="61"/>
      <c r="L386" s="61"/>
      <c r="M386" s="61"/>
      <c r="N386" s="61"/>
      <c r="O386" s="61"/>
    </row>
    <row r="387" spans="1:15" s="4" customFormat="1" ht="38.25" x14ac:dyDescent="0.2">
      <c r="A387" s="39">
        <v>63</v>
      </c>
      <c r="B387" s="51" t="s">
        <v>174</v>
      </c>
      <c r="C387" s="51" t="s">
        <v>175</v>
      </c>
      <c r="D387" s="25"/>
      <c r="E387" s="25"/>
      <c r="F387" s="25"/>
      <c r="G387" s="170">
        <f>ROUND(G360*4.35*1.266,2)</f>
        <v>0</v>
      </c>
      <c r="H387" s="25">
        <f t="shared" si="154"/>
        <v>0</v>
      </c>
      <c r="I387" s="78">
        <f>G387*1.02*1.2</f>
        <v>0</v>
      </c>
      <c r="J387" s="2"/>
      <c r="K387" s="61"/>
      <c r="L387" s="61"/>
      <c r="M387" s="61"/>
      <c r="N387" s="61"/>
      <c r="O387" s="61"/>
    </row>
    <row r="388" spans="1:15" s="4" customFormat="1" ht="38.25" x14ac:dyDescent="0.2">
      <c r="A388" s="39">
        <v>64</v>
      </c>
      <c r="B388" s="51" t="s">
        <v>176</v>
      </c>
      <c r="C388" s="51" t="s">
        <v>177</v>
      </c>
      <c r="D388" s="24"/>
      <c r="E388" s="25"/>
      <c r="F388" s="25"/>
      <c r="G388" s="170">
        <f>ROUND((G361)*4.27*1.19,2)</f>
        <v>64922.75</v>
      </c>
      <c r="H388" s="25">
        <f t="shared" si="154"/>
        <v>64922.75</v>
      </c>
      <c r="I388" s="78"/>
      <c r="J388" s="2"/>
      <c r="K388" s="61"/>
      <c r="L388" s="61"/>
      <c r="M388" s="61"/>
      <c r="N388" s="61"/>
      <c r="O388" s="61"/>
    </row>
    <row r="389" spans="1:15" s="4" customFormat="1" ht="25.5" x14ac:dyDescent="0.2">
      <c r="A389" s="39">
        <v>65</v>
      </c>
      <c r="B389" s="51" t="s">
        <v>111</v>
      </c>
      <c r="C389" s="51" t="s">
        <v>178</v>
      </c>
      <c r="D389" s="24"/>
      <c r="E389" s="25"/>
      <c r="F389" s="25"/>
      <c r="G389" s="170">
        <f>ROUND(G363*5.29,2)</f>
        <v>0</v>
      </c>
      <c r="H389" s="25">
        <f t="shared" si="154"/>
        <v>0</v>
      </c>
      <c r="I389" s="78">
        <f>G389*1.02*1.2</f>
        <v>0</v>
      </c>
      <c r="J389" s="2"/>
      <c r="K389" s="61"/>
      <c r="L389" s="61"/>
      <c r="M389" s="61"/>
      <c r="N389" s="61"/>
      <c r="O389" s="61"/>
    </row>
    <row r="390" spans="1:15" s="4" customFormat="1" ht="102" x14ac:dyDescent="0.2">
      <c r="A390" s="39">
        <v>66</v>
      </c>
      <c r="B390" s="51" t="s">
        <v>179</v>
      </c>
      <c r="C390" s="51" t="s">
        <v>180</v>
      </c>
      <c r="D390" s="24"/>
      <c r="E390" s="25"/>
      <c r="F390" s="25"/>
      <c r="G390" s="170">
        <f>ROUND((G327*1.19*4.27+G326*1.266*4.35)*0.0058*1.02,2)</f>
        <v>0</v>
      </c>
      <c r="H390" s="25">
        <f t="shared" si="154"/>
        <v>0</v>
      </c>
      <c r="I390" s="78">
        <f>G390*1.02*1.2</f>
        <v>0</v>
      </c>
      <c r="J390" s="2"/>
      <c r="K390" s="61"/>
      <c r="L390" s="61"/>
      <c r="M390" s="61"/>
      <c r="N390" s="61"/>
      <c r="O390" s="61"/>
    </row>
    <row r="391" spans="1:15" s="4" customFormat="1" ht="26.25" customHeight="1" x14ac:dyDescent="0.2">
      <c r="A391" s="39"/>
      <c r="B391" s="673" t="s">
        <v>181</v>
      </c>
      <c r="C391" s="673"/>
      <c r="D391" s="47">
        <f>SUM(D367:D390)</f>
        <v>879547.55</v>
      </c>
      <c r="E391" s="47">
        <f>SUM(E367:E390)</f>
        <v>46362.94</v>
      </c>
      <c r="F391" s="47">
        <f>SUM(F367:F390)</f>
        <v>86665.79</v>
      </c>
      <c r="G391" s="47">
        <f>SUM(G367:G390)</f>
        <v>382538.36</v>
      </c>
      <c r="H391" s="47">
        <f>SUM(H367:H390)</f>
        <v>1395114.64</v>
      </c>
      <c r="I391" s="81"/>
      <c r="J391" s="2"/>
      <c r="K391" s="61"/>
      <c r="L391" s="61"/>
      <c r="M391" s="61"/>
      <c r="N391" s="61"/>
      <c r="O391" s="61"/>
    </row>
    <row r="392" spans="1:15" s="4" customFormat="1" ht="27" customHeight="1" x14ac:dyDescent="0.2">
      <c r="A392" s="39"/>
      <c r="B392" s="673" t="s">
        <v>182</v>
      </c>
      <c r="C392" s="673"/>
      <c r="D392" s="47">
        <f>D391</f>
        <v>879547.55</v>
      </c>
      <c r="E392" s="47">
        <f t="shared" ref="E392:H392" si="155">E391</f>
        <v>46362.94</v>
      </c>
      <c r="F392" s="47">
        <f t="shared" si="155"/>
        <v>86665.79</v>
      </c>
      <c r="G392" s="47">
        <f t="shared" si="155"/>
        <v>382538.36</v>
      </c>
      <c r="H392" s="47">
        <f t="shared" si="155"/>
        <v>1395114.64</v>
      </c>
      <c r="I392" s="81"/>
      <c r="J392" s="2"/>
      <c r="K392" s="428">
        <f>K336</f>
        <v>876686629.17999995</v>
      </c>
      <c r="L392" s="428">
        <f t="shared" ref="L392:N392" si="156">L336</f>
        <v>46210433.280000001</v>
      </c>
      <c r="M392" s="428">
        <f t="shared" si="156"/>
        <v>86665807.560000002</v>
      </c>
      <c r="N392" s="428">
        <f t="shared" si="156"/>
        <v>382538534.86000001</v>
      </c>
      <c r="O392" s="428">
        <f>SUM(K392:N392)</f>
        <v>1392101404.8800001</v>
      </c>
    </row>
    <row r="393" spans="1:15" s="4" customFormat="1" ht="38.25" x14ac:dyDescent="0.2">
      <c r="A393" s="39">
        <v>67</v>
      </c>
      <c r="B393" s="51" t="s">
        <v>183</v>
      </c>
      <c r="C393" s="51" t="s">
        <v>184</v>
      </c>
      <c r="D393" s="25">
        <f>ROUND(D392*20%,2)</f>
        <v>175909.51</v>
      </c>
      <c r="E393" s="25">
        <f>ROUND(E392*20%,2)</f>
        <v>9272.59</v>
      </c>
      <c r="F393" s="25">
        <f>ROUND(F392*20%,2)</f>
        <v>17333.16</v>
      </c>
      <c r="G393" s="25">
        <f>ROUND(G392*20%,2)</f>
        <v>76507.67</v>
      </c>
      <c r="H393" s="25">
        <f>D393+E393+F393+G393</f>
        <v>279022.93</v>
      </c>
      <c r="I393" s="78"/>
      <c r="J393" s="2"/>
      <c r="K393" s="61">
        <f>K392*20%</f>
        <v>175337325.84</v>
      </c>
      <c r="L393" s="61">
        <f t="shared" ref="L393:N393" si="157">L392*20%</f>
        <v>9242086.6600000001</v>
      </c>
      <c r="M393" s="61">
        <f t="shared" si="157"/>
        <v>17333161.510000002</v>
      </c>
      <c r="N393" s="61">
        <f t="shared" si="157"/>
        <v>76507706.969999999</v>
      </c>
      <c r="O393" s="61">
        <f t="shared" ref="O393:O394" si="158">SUM(K393:N393)</f>
        <v>278420280.98000002</v>
      </c>
    </row>
    <row r="394" spans="1:15" s="4" customFormat="1" ht="28.5" customHeight="1" x14ac:dyDescent="0.2">
      <c r="A394" s="39"/>
      <c r="B394" s="673" t="s">
        <v>185</v>
      </c>
      <c r="C394" s="673"/>
      <c r="D394" s="47">
        <f>D393+D392</f>
        <v>1055457.06</v>
      </c>
      <c r="E394" s="47">
        <f>E393+E392</f>
        <v>55635.53</v>
      </c>
      <c r="F394" s="47">
        <f>F393+F392</f>
        <v>103998.95</v>
      </c>
      <c r="G394" s="47">
        <f>G393+G392</f>
        <v>459046.03</v>
      </c>
      <c r="H394" s="47">
        <f>D394+E394+F394+G394</f>
        <v>1674137.57</v>
      </c>
      <c r="I394" s="81"/>
      <c r="J394" s="2"/>
      <c r="K394" s="323">
        <f>K392+K393</f>
        <v>1052023955.02</v>
      </c>
      <c r="L394" s="323">
        <f t="shared" ref="L394:N394" si="159">L392+L393</f>
        <v>55452519.939999998</v>
      </c>
      <c r="M394" s="323">
        <f t="shared" si="159"/>
        <v>103998969.06999999</v>
      </c>
      <c r="N394" s="323">
        <f t="shared" si="159"/>
        <v>459046241.82999998</v>
      </c>
      <c r="O394" s="323">
        <f t="shared" si="158"/>
        <v>1670521685.8599999</v>
      </c>
    </row>
    <row r="395" spans="1:15" s="4" customFormat="1" ht="15.75" customHeight="1" x14ac:dyDescent="0.2">
      <c r="A395" s="689" t="s">
        <v>186</v>
      </c>
      <c r="B395" s="690"/>
      <c r="C395" s="691"/>
      <c r="D395" s="47"/>
      <c r="E395" s="47"/>
      <c r="F395" s="47"/>
      <c r="G395" s="47"/>
      <c r="H395" s="47"/>
      <c r="I395" s="81"/>
      <c r="J395" s="2"/>
      <c r="K395" s="61"/>
      <c r="L395" s="61"/>
      <c r="M395" s="61"/>
      <c r="N395" s="61"/>
      <c r="O395" s="61"/>
    </row>
    <row r="396" spans="1:15" s="4" customFormat="1" ht="30.75" customHeight="1" x14ac:dyDescent="0.2">
      <c r="A396" s="39">
        <v>68</v>
      </c>
      <c r="B396" s="674" t="s">
        <v>187</v>
      </c>
      <c r="C396" s="674"/>
      <c r="D396" s="25">
        <f>ROUND(D338*8.1*1.2,2)</f>
        <v>3433.01</v>
      </c>
      <c r="E396" s="25">
        <f>ROUND(E338*8.1*1.2,2)</f>
        <v>182.93</v>
      </c>
      <c r="F396" s="25"/>
      <c r="G396" s="25"/>
      <c r="H396" s="25">
        <f>D396+E396+F396+G396</f>
        <v>3615.94</v>
      </c>
      <c r="I396" s="78">
        <f>-H396*1.02</f>
        <v>-3688.26</v>
      </c>
      <c r="J396" s="2"/>
      <c r="K396" s="61"/>
      <c r="L396" s="61"/>
      <c r="M396" s="61"/>
      <c r="N396" s="61"/>
      <c r="O396" s="61"/>
    </row>
    <row r="397" spans="1:15" s="4" customFormat="1" ht="15.75" customHeight="1" x14ac:dyDescent="0.2">
      <c r="A397" s="39">
        <v>69</v>
      </c>
      <c r="B397" s="674" t="s">
        <v>188</v>
      </c>
      <c r="C397" s="674"/>
      <c r="D397" s="25"/>
      <c r="E397" s="25"/>
      <c r="F397" s="25"/>
      <c r="G397" s="25">
        <f>G326+G327+G328</f>
        <v>12526.27</v>
      </c>
      <c r="H397" s="25">
        <f>G397</f>
        <v>12526.27</v>
      </c>
      <c r="I397" s="78"/>
      <c r="J397" s="2"/>
      <c r="K397" s="61"/>
      <c r="L397" s="61"/>
      <c r="M397" s="61"/>
      <c r="N397" s="61"/>
      <c r="O397" s="61"/>
    </row>
    <row r="398" spans="1:15" s="4" customFormat="1" ht="15.75" customHeight="1" x14ac:dyDescent="0.2">
      <c r="A398" s="39">
        <v>70</v>
      </c>
      <c r="B398" s="674" t="s">
        <v>189</v>
      </c>
      <c r="C398" s="674"/>
      <c r="D398" s="25"/>
      <c r="E398" s="25"/>
      <c r="F398" s="25"/>
      <c r="G398" s="25">
        <f>ROUND(((G327+G328)*4.27*1.19+G326*4.35*1.266)*1.2,2)</f>
        <v>76379.679999999993</v>
      </c>
      <c r="H398" s="25">
        <f>G398</f>
        <v>76379.679999999993</v>
      </c>
      <c r="I398" s="78"/>
      <c r="J398" s="2"/>
      <c r="K398" s="61"/>
      <c r="L398" s="61"/>
      <c r="M398" s="61"/>
      <c r="N398" s="61"/>
      <c r="O398" s="61"/>
    </row>
    <row r="399" spans="1:15" x14ac:dyDescent="0.2">
      <c r="I399" s="48">
        <f>SUM(I34:I398)*1000</f>
        <v>-3688260</v>
      </c>
      <c r="K399" s="64"/>
      <c r="L399" s="64"/>
      <c r="M399" s="64"/>
      <c r="N399" s="64"/>
      <c r="O399" s="61"/>
    </row>
    <row r="400" spans="1:15" x14ac:dyDescent="0.2">
      <c r="B400" s="1" t="s">
        <v>658</v>
      </c>
      <c r="I400" s="48"/>
      <c r="K400" s="167"/>
      <c r="L400" s="167"/>
      <c r="M400" s="167"/>
      <c r="N400" s="167"/>
      <c r="O400" s="168"/>
    </row>
    <row r="401" spans="2:16" ht="46.5" customHeight="1" x14ac:dyDescent="0.2">
      <c r="B401" s="674" t="s">
        <v>648</v>
      </c>
      <c r="C401" s="674"/>
      <c r="D401" s="25">
        <f>(D39+D234+D253+D294)*2.3%*15%*8.1</f>
        <v>2724.98</v>
      </c>
      <c r="E401" s="25">
        <f>(E39+E234+E253+E294)*2.3%*15%*8.1</f>
        <v>149.86000000000001</v>
      </c>
      <c r="F401" s="30"/>
      <c r="G401" s="30"/>
      <c r="H401" s="25">
        <f t="shared" ref="H401:H406" si="160">SUM(D401:G401)</f>
        <v>2874.84</v>
      </c>
      <c r="I401" s="48">
        <f>I399+O338</f>
        <v>-3688260</v>
      </c>
      <c r="K401" s="25">
        <f>D401*1000</f>
        <v>2724980</v>
      </c>
      <c r="L401" s="25">
        <f>E401*1000</f>
        <v>149860</v>
      </c>
      <c r="M401" s="30"/>
      <c r="N401" s="30"/>
      <c r="O401" s="25">
        <f t="shared" ref="O401:O406" si="161">SUM(K401:N401)</f>
        <v>2874840</v>
      </c>
    </row>
    <row r="402" spans="2:16" ht="45.75" customHeight="1" x14ac:dyDescent="0.2">
      <c r="B402" s="674" t="s">
        <v>649</v>
      </c>
      <c r="C402" s="674"/>
      <c r="D402" s="166">
        <f>D240*2.3%*15%*5.55</f>
        <v>22.33</v>
      </c>
      <c r="E402" s="166">
        <f>E240*2.3%*15%*5.55</f>
        <v>1.52</v>
      </c>
      <c r="F402" s="30"/>
      <c r="G402" s="30"/>
      <c r="H402" s="25">
        <f t="shared" si="160"/>
        <v>23.85</v>
      </c>
      <c r="I402" s="48"/>
      <c r="K402" s="25">
        <f t="shared" ref="K402:K405" si="162">D402*1000</f>
        <v>22330</v>
      </c>
      <c r="L402" s="25">
        <f t="shared" ref="L402:L405" si="163">E402*1000</f>
        <v>1520</v>
      </c>
      <c r="M402" s="30"/>
      <c r="N402" s="30"/>
      <c r="O402" s="25">
        <f t="shared" si="161"/>
        <v>23850</v>
      </c>
    </row>
    <row r="403" spans="2:16" ht="42.75" customHeight="1" x14ac:dyDescent="0.2">
      <c r="B403" s="674" t="s">
        <v>650</v>
      </c>
      <c r="C403" s="674"/>
      <c r="D403" s="166">
        <f>D255*2.3%*15%*8.98</f>
        <v>42.98</v>
      </c>
      <c r="E403" s="166">
        <f>E255*2.3%*15%*8.98</f>
        <v>0.28999999999999998</v>
      </c>
      <c r="F403" s="30"/>
      <c r="G403" s="30"/>
      <c r="H403" s="25">
        <f t="shared" si="160"/>
        <v>43.27</v>
      </c>
      <c r="I403" s="48"/>
      <c r="K403" s="25">
        <f t="shared" si="162"/>
        <v>42980</v>
      </c>
      <c r="L403" s="25">
        <f t="shared" si="163"/>
        <v>290</v>
      </c>
      <c r="M403" s="30"/>
      <c r="N403" s="30"/>
      <c r="O403" s="25">
        <f t="shared" si="161"/>
        <v>43270</v>
      </c>
    </row>
    <row r="404" spans="2:16" ht="42.75" customHeight="1" x14ac:dyDescent="0.2">
      <c r="B404" s="674" t="s">
        <v>651</v>
      </c>
      <c r="C404" s="674"/>
      <c r="D404" s="166">
        <f>D261*2.3%*15%*8.98</f>
        <v>57.55</v>
      </c>
      <c r="E404" s="166">
        <f>E261*2.3%*15%*8.98</f>
        <v>0.12</v>
      </c>
      <c r="F404" s="30"/>
      <c r="G404" s="30"/>
      <c r="H404" s="25">
        <f t="shared" si="160"/>
        <v>57.67</v>
      </c>
      <c r="I404" s="48"/>
      <c r="K404" s="25">
        <f t="shared" si="162"/>
        <v>57550</v>
      </c>
      <c r="L404" s="25">
        <f t="shared" si="163"/>
        <v>120</v>
      </c>
      <c r="M404" s="30"/>
      <c r="N404" s="30"/>
      <c r="O404" s="25">
        <f t="shared" si="161"/>
        <v>57670</v>
      </c>
    </row>
    <row r="405" spans="2:16" ht="42.75" customHeight="1" x14ac:dyDescent="0.2">
      <c r="B405" s="674" t="s">
        <v>652</v>
      </c>
      <c r="C405" s="674"/>
      <c r="D405" s="166">
        <f>D268*2.3%*15%*8.98</f>
        <v>13.98</v>
      </c>
      <c r="E405" s="166">
        <f>E268*2.3%*15%*8.98</f>
        <v>0</v>
      </c>
      <c r="F405" s="30"/>
      <c r="G405" s="30"/>
      <c r="H405" s="25">
        <f t="shared" si="160"/>
        <v>13.98</v>
      </c>
      <c r="I405" s="48"/>
      <c r="K405" s="25">
        <f t="shared" si="162"/>
        <v>13980</v>
      </c>
      <c r="L405" s="25">
        <f t="shared" si="163"/>
        <v>0</v>
      </c>
      <c r="M405" s="30"/>
      <c r="N405" s="30"/>
      <c r="O405" s="25">
        <f t="shared" si="161"/>
        <v>13980</v>
      </c>
    </row>
    <row r="406" spans="2:16" x14ac:dyDescent="0.2">
      <c r="B406" s="169" t="s">
        <v>653</v>
      </c>
      <c r="C406" s="169"/>
      <c r="D406" s="25">
        <f>SUM(D401:D405)</f>
        <v>2861.82</v>
      </c>
      <c r="E406" s="25">
        <f>SUM(E401:E405)</f>
        <v>151.79</v>
      </c>
      <c r="F406" s="30"/>
      <c r="G406" s="30"/>
      <c r="H406" s="25">
        <f t="shared" si="160"/>
        <v>3013.61</v>
      </c>
      <c r="I406" s="48"/>
      <c r="K406" s="25">
        <f>SUM(K401:K405)</f>
        <v>2861820</v>
      </c>
      <c r="L406" s="25">
        <f>SUM(L401:L405)</f>
        <v>151790</v>
      </c>
      <c r="M406" s="30"/>
      <c r="N406" s="30"/>
      <c r="O406" s="25">
        <f t="shared" si="161"/>
        <v>3013610</v>
      </c>
    </row>
    <row r="407" spans="2:16" hidden="1" x14ac:dyDescent="0.2">
      <c r="B407" s="169" t="s">
        <v>654</v>
      </c>
      <c r="C407" s="169"/>
      <c r="D407" s="166">
        <f>D406*2%*0</f>
        <v>0</v>
      </c>
      <c r="E407" s="166">
        <f>E406*2%*0</f>
        <v>0</v>
      </c>
      <c r="F407" s="30"/>
      <c r="G407" s="30"/>
      <c r="H407" s="25">
        <f t="shared" ref="H407:H412" si="164">SUM(D407:G407)</f>
        <v>0</v>
      </c>
      <c r="K407" s="25">
        <f t="shared" ref="K407" si="165">D407*1000</f>
        <v>0</v>
      </c>
      <c r="L407" s="25">
        <f t="shared" ref="L407" si="166">E407*1000</f>
        <v>0</v>
      </c>
      <c r="M407" s="30"/>
      <c r="N407" s="30"/>
      <c r="O407" s="25">
        <f t="shared" ref="O407:O412" si="167">SUM(K407:N407)</f>
        <v>0</v>
      </c>
    </row>
    <row r="408" spans="2:16" hidden="1" x14ac:dyDescent="0.2">
      <c r="B408" s="169" t="s">
        <v>655</v>
      </c>
      <c r="C408" s="169"/>
      <c r="D408" s="25">
        <f>D406+D407</f>
        <v>2861.82</v>
      </c>
      <c r="E408" s="25">
        <f>E406+E407</f>
        <v>151.79</v>
      </c>
      <c r="F408" s="30"/>
      <c r="G408" s="30"/>
      <c r="H408" s="25">
        <f t="shared" si="164"/>
        <v>3013.61</v>
      </c>
      <c r="K408" s="25">
        <f t="shared" ref="K408:K410" si="168">D408*1000</f>
        <v>2861820</v>
      </c>
      <c r="L408" s="25">
        <f t="shared" ref="L408:L410" si="169">E408*1000</f>
        <v>151790</v>
      </c>
      <c r="M408" s="30"/>
      <c r="N408" s="30"/>
      <c r="O408" s="25">
        <f t="shared" si="167"/>
        <v>3013610</v>
      </c>
    </row>
    <row r="409" spans="2:16" x14ac:dyDescent="0.2">
      <c r="B409" s="169" t="s">
        <v>656</v>
      </c>
      <c r="C409" s="169"/>
      <c r="D409" s="166">
        <f>D408*20%</f>
        <v>572.36</v>
      </c>
      <c r="E409" s="166">
        <f>E408*20%</f>
        <v>30.36</v>
      </c>
      <c r="F409" s="30"/>
      <c r="G409" s="30"/>
      <c r="H409" s="25">
        <f t="shared" si="164"/>
        <v>602.72</v>
      </c>
      <c r="K409" s="25">
        <f t="shared" si="168"/>
        <v>572360</v>
      </c>
      <c r="L409" s="25">
        <f t="shared" si="169"/>
        <v>30360</v>
      </c>
      <c r="M409" s="30"/>
      <c r="N409" s="30"/>
      <c r="O409" s="25">
        <f t="shared" si="167"/>
        <v>602720</v>
      </c>
    </row>
    <row r="410" spans="2:16" x14ac:dyDescent="0.2">
      <c r="B410" s="169" t="s">
        <v>657</v>
      </c>
      <c r="C410" s="169"/>
      <c r="D410" s="25">
        <f>D408+D409</f>
        <v>3434.18</v>
      </c>
      <c r="E410" s="25">
        <f>E408+E409</f>
        <v>182.15</v>
      </c>
      <c r="F410" s="30"/>
      <c r="G410" s="30"/>
      <c r="H410" s="25">
        <f t="shared" si="164"/>
        <v>3616.33</v>
      </c>
      <c r="K410" s="25">
        <f t="shared" si="168"/>
        <v>3434180</v>
      </c>
      <c r="L410" s="25">
        <f t="shared" si="169"/>
        <v>182150</v>
      </c>
      <c r="M410" s="30"/>
      <c r="N410" s="30"/>
      <c r="O410" s="25">
        <f t="shared" si="167"/>
        <v>3616330</v>
      </c>
    </row>
    <row r="412" spans="2:16" ht="33.75" customHeight="1" x14ac:dyDescent="0.2">
      <c r="B412" s="673" t="s">
        <v>659</v>
      </c>
      <c r="C412" s="673"/>
      <c r="D412" s="25">
        <f>D394-D410</f>
        <v>1052022.8799999999</v>
      </c>
      <c r="E412" s="25">
        <f t="shared" ref="E412:G412" si="170">E394-E410</f>
        <v>55453.38</v>
      </c>
      <c r="F412" s="25">
        <f t="shared" si="170"/>
        <v>103998.95</v>
      </c>
      <c r="G412" s="25">
        <f t="shared" si="170"/>
        <v>459046.03</v>
      </c>
      <c r="H412" s="25">
        <f t="shared" si="164"/>
        <v>1670521.24</v>
      </c>
      <c r="K412" s="323">
        <f>K394</f>
        <v>1052023955.02</v>
      </c>
      <c r="L412" s="323">
        <f t="shared" ref="L412:N412" si="171">L394</f>
        <v>55452519.939999998</v>
      </c>
      <c r="M412" s="323">
        <f t="shared" si="171"/>
        <v>103998969.06999999</v>
      </c>
      <c r="N412" s="323">
        <f t="shared" si="171"/>
        <v>459046241.82999998</v>
      </c>
      <c r="O412" s="324">
        <f t="shared" si="167"/>
        <v>1670521685.8599999</v>
      </c>
      <c r="P412" s="232"/>
    </row>
  </sheetData>
  <mergeCells count="66">
    <mergeCell ref="P143:P149"/>
    <mergeCell ref="P165:P167"/>
    <mergeCell ref="P177:P186"/>
    <mergeCell ref="P173:P175"/>
    <mergeCell ref="A325:H325"/>
    <mergeCell ref="B324:C324"/>
    <mergeCell ref="A275:H275"/>
    <mergeCell ref="B294:C294"/>
    <mergeCell ref="B295:C295"/>
    <mergeCell ref="A296:H296"/>
    <mergeCell ref="B299:C299"/>
    <mergeCell ref="B300:C300"/>
    <mergeCell ref="B301:C301"/>
    <mergeCell ref="A302:H302"/>
    <mergeCell ref="B320:C320"/>
    <mergeCell ref="B321:C321"/>
    <mergeCell ref="B331:C331"/>
    <mergeCell ref="B332:C332"/>
    <mergeCell ref="A333:H333"/>
    <mergeCell ref="B335:C335"/>
    <mergeCell ref="B336:C336"/>
    <mergeCell ref="B337:C337"/>
    <mergeCell ref="A339:H339"/>
    <mergeCell ref="B366:C366"/>
    <mergeCell ref="B391:C391"/>
    <mergeCell ref="B392:C392"/>
    <mergeCell ref="K25:O26"/>
    <mergeCell ref="K27:K28"/>
    <mergeCell ref="L27:L28"/>
    <mergeCell ref="M27:M28"/>
    <mergeCell ref="N27:N28"/>
    <mergeCell ref="O27:O28"/>
    <mergeCell ref="A395:C395"/>
    <mergeCell ref="B396:C396"/>
    <mergeCell ref="B397:C397"/>
    <mergeCell ref="B398:C398"/>
    <mergeCell ref="B394:C394"/>
    <mergeCell ref="A322:H322"/>
    <mergeCell ref="B274:C274"/>
    <mergeCell ref="F26:F28"/>
    <mergeCell ref="G26:G28"/>
    <mergeCell ref="A30:H30"/>
    <mergeCell ref="B39:C39"/>
    <mergeCell ref="A40:H40"/>
    <mergeCell ref="B234:C234"/>
    <mergeCell ref="A235:H235"/>
    <mergeCell ref="B240:C240"/>
    <mergeCell ref="A241:H241"/>
    <mergeCell ref="B253:C253"/>
    <mergeCell ref="A254:H254"/>
    <mergeCell ref="C2:G2"/>
    <mergeCell ref="C14:G14"/>
    <mergeCell ref="A21:H21"/>
    <mergeCell ref="A25:A28"/>
    <mergeCell ref="B25:B28"/>
    <mergeCell ref="C25:C28"/>
    <mergeCell ref="D25:G25"/>
    <mergeCell ref="H25:H28"/>
    <mergeCell ref="D26:D28"/>
    <mergeCell ref="E26:E28"/>
    <mergeCell ref="B412:C412"/>
    <mergeCell ref="B401:C401"/>
    <mergeCell ref="B402:C402"/>
    <mergeCell ref="B404:C404"/>
    <mergeCell ref="B403:C403"/>
    <mergeCell ref="B405:C405"/>
  </mergeCells>
  <printOptions gridLines="1"/>
  <pageMargins left="0.42013888888888901" right="0.25" top="0.3" bottom="0.3" header="0.51180555555555496" footer="0.51180555555555496"/>
  <pageSetup paperSize="9" scale="63" firstPageNumber="0" fitToHeight="0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182"/>
  <sheetViews>
    <sheetView showGridLines="0" topLeftCell="A40" zoomScaleNormal="100" workbookViewId="0">
      <selection activeCell="C59" sqref="C59"/>
    </sheetView>
  </sheetViews>
  <sheetFormatPr defaultColWidth="8.85546875" defaultRowHeight="12.75" x14ac:dyDescent="0.2"/>
  <cols>
    <col min="1" max="1" width="5" style="11" customWidth="1"/>
    <col min="2" max="2" width="19.28515625" style="1" customWidth="1"/>
    <col min="3" max="3" width="52.140625" style="1" customWidth="1"/>
    <col min="4" max="4" width="13.140625" style="10" customWidth="1"/>
    <col min="5" max="5" width="13" style="10" customWidth="1"/>
    <col min="6" max="6" width="13.28515625" style="10" customWidth="1"/>
    <col min="7" max="7" width="12.42578125" style="10" customWidth="1"/>
    <col min="8" max="8" width="13.85546875" style="10" customWidth="1"/>
    <col min="9" max="9" width="18.140625" style="10" customWidth="1"/>
    <col min="10" max="12" width="13.85546875" style="10" customWidth="1"/>
    <col min="13" max="13" width="13.85546875" style="106" customWidth="1"/>
    <col min="14" max="15" width="13.85546875" style="10" customWidth="1"/>
    <col min="16" max="16" width="15.7109375" style="4" customWidth="1"/>
    <col min="17" max="17" width="14.28515625" style="4" customWidth="1"/>
    <col min="18" max="18" width="16.140625" style="4" customWidth="1"/>
    <col min="19" max="264" width="9.140625" style="4" customWidth="1"/>
    <col min="265" max="1032" width="9.140625" customWidth="1"/>
  </cols>
  <sheetData>
    <row r="1" spans="2:15" x14ac:dyDescent="0.2">
      <c r="D1" s="2"/>
      <c r="E1" s="2"/>
      <c r="F1" s="2"/>
      <c r="G1" s="2"/>
      <c r="H1" s="3" t="s">
        <v>0</v>
      </c>
      <c r="I1" s="3"/>
      <c r="J1" s="3"/>
      <c r="K1" s="3"/>
      <c r="L1" s="3"/>
      <c r="M1" s="88"/>
      <c r="N1" s="3"/>
      <c r="O1" s="3"/>
    </row>
    <row r="2" spans="2:15" ht="12.75" customHeight="1" x14ac:dyDescent="0.2">
      <c r="B2" s="1" t="s">
        <v>1</v>
      </c>
      <c r="C2" s="675" t="s">
        <v>2</v>
      </c>
      <c r="D2" s="675"/>
      <c r="E2" s="675"/>
      <c r="F2" s="675"/>
      <c r="G2" s="675"/>
      <c r="H2" s="2"/>
      <c r="I2" s="2"/>
      <c r="J2" s="2"/>
      <c r="K2" s="2"/>
      <c r="L2" s="2"/>
      <c r="M2" s="89"/>
      <c r="N2" s="2"/>
      <c r="O2" s="2"/>
    </row>
    <row r="3" spans="2:15" x14ac:dyDescent="0.2">
      <c r="C3" s="5"/>
      <c r="D3" s="6" t="s">
        <v>3</v>
      </c>
      <c r="E3" s="7"/>
      <c r="F3" s="8"/>
      <c r="G3" s="8"/>
      <c r="H3" s="2"/>
      <c r="I3" s="2"/>
      <c r="J3" s="2"/>
      <c r="K3" s="2"/>
      <c r="L3" s="2"/>
      <c r="M3" s="89"/>
      <c r="N3" s="2"/>
      <c r="O3" s="2"/>
    </row>
    <row r="4" spans="2:15" x14ac:dyDescent="0.2">
      <c r="B4" s="1" t="s">
        <v>4</v>
      </c>
      <c r="D4" s="2"/>
      <c r="E4" s="9"/>
      <c r="F4" s="2"/>
      <c r="G4" s="2"/>
      <c r="H4" s="2"/>
      <c r="I4" s="2"/>
      <c r="J4" s="2"/>
      <c r="K4" s="2"/>
      <c r="L4" s="2"/>
      <c r="M4" s="89"/>
      <c r="N4" s="2"/>
      <c r="O4" s="2"/>
    </row>
    <row r="5" spans="2:15" x14ac:dyDescent="0.2">
      <c r="D5" s="2"/>
      <c r="E5" s="9"/>
      <c r="F5" s="2"/>
      <c r="G5" s="2"/>
      <c r="H5" s="2"/>
      <c r="I5" s="2"/>
      <c r="J5" s="2"/>
      <c r="K5" s="2"/>
      <c r="L5" s="2"/>
      <c r="M5" s="89"/>
      <c r="N5" s="2"/>
      <c r="O5" s="2"/>
    </row>
    <row r="6" spans="2:15" x14ac:dyDescent="0.2">
      <c r="B6" s="1" t="s">
        <v>5</v>
      </c>
      <c r="D6" s="2"/>
      <c r="E6" s="9"/>
      <c r="F6" s="2"/>
      <c r="G6" s="2"/>
      <c r="H6" s="2"/>
      <c r="I6" s="2"/>
      <c r="J6" s="2"/>
      <c r="K6" s="2"/>
      <c r="L6" s="2"/>
      <c r="M6" s="89"/>
      <c r="N6" s="2"/>
      <c r="O6" s="2"/>
    </row>
    <row r="7" spans="2:15" x14ac:dyDescent="0.2">
      <c r="B7" s="1" t="s">
        <v>6</v>
      </c>
      <c r="D7" s="2"/>
      <c r="E7" s="2"/>
      <c r="F7" s="2"/>
      <c r="G7" s="2"/>
      <c r="H7" s="2"/>
      <c r="I7" s="2"/>
      <c r="J7" s="2"/>
      <c r="K7" s="2"/>
      <c r="L7" s="2"/>
      <c r="M7" s="89"/>
      <c r="N7" s="2"/>
      <c r="O7" s="2"/>
    </row>
    <row r="8" spans="2:15" x14ac:dyDescent="0.2">
      <c r="D8" s="2"/>
      <c r="E8" s="2"/>
      <c r="F8" s="2"/>
      <c r="G8" s="2"/>
      <c r="H8" s="2"/>
      <c r="I8" s="2"/>
      <c r="J8" s="2"/>
      <c r="K8" s="2"/>
      <c r="L8" s="2"/>
      <c r="M8" s="89"/>
      <c r="N8" s="2"/>
      <c r="O8" s="2"/>
    </row>
    <row r="9" spans="2:15" x14ac:dyDescent="0.2">
      <c r="B9" s="1" t="s">
        <v>7</v>
      </c>
      <c r="D9" s="2"/>
      <c r="E9" s="2"/>
      <c r="F9" s="2"/>
      <c r="G9" s="2"/>
      <c r="H9" s="2"/>
      <c r="I9" s="2"/>
      <c r="J9" s="2"/>
      <c r="K9" s="2"/>
      <c r="L9" s="2"/>
      <c r="M9" s="89"/>
      <c r="N9" s="2"/>
      <c r="O9" s="2"/>
    </row>
    <row r="10" spans="2:15" x14ac:dyDescent="0.2">
      <c r="B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89"/>
      <c r="N10" s="2"/>
      <c r="O10" s="2"/>
    </row>
    <row r="11" spans="2:15" x14ac:dyDescent="0.2">
      <c r="D11" s="2"/>
      <c r="E11" s="2"/>
      <c r="F11" s="2"/>
      <c r="G11" s="2"/>
      <c r="H11" s="2"/>
      <c r="I11" s="2"/>
      <c r="J11" s="2"/>
      <c r="K11" s="2"/>
      <c r="L11" s="2"/>
      <c r="M11" s="89"/>
      <c r="N11" s="2"/>
      <c r="O11" s="2"/>
    </row>
    <row r="12" spans="2:15" x14ac:dyDescent="0.2">
      <c r="D12" s="2"/>
      <c r="E12" s="2"/>
      <c r="F12" s="2"/>
      <c r="G12" s="2"/>
      <c r="H12" s="2"/>
      <c r="I12" s="2"/>
      <c r="J12" s="2"/>
      <c r="K12" s="2"/>
      <c r="L12" s="2"/>
      <c r="M12" s="89"/>
      <c r="N12" s="2"/>
      <c r="O12" s="2"/>
    </row>
    <row r="13" spans="2:15" x14ac:dyDescent="0.2">
      <c r="D13" s="2"/>
      <c r="E13" s="2"/>
      <c r="F13" s="2"/>
      <c r="G13" s="2"/>
      <c r="H13" s="2"/>
      <c r="I13" s="2"/>
      <c r="J13" s="2"/>
      <c r="K13" s="2"/>
      <c r="L13" s="2"/>
      <c r="M13" s="89"/>
      <c r="N13" s="2"/>
      <c r="O13" s="2"/>
    </row>
    <row r="14" spans="2:15" x14ac:dyDescent="0.2">
      <c r="C14" s="676"/>
      <c r="D14" s="676"/>
      <c r="E14" s="676"/>
      <c r="F14" s="676"/>
      <c r="G14" s="676"/>
      <c r="H14" s="2"/>
      <c r="I14" s="2"/>
      <c r="J14" s="2"/>
      <c r="K14" s="2"/>
      <c r="L14" s="2"/>
      <c r="M14" s="89"/>
      <c r="N14" s="2"/>
      <c r="O14" s="2"/>
    </row>
    <row r="15" spans="2:15" x14ac:dyDescent="0.2">
      <c r="D15" s="9" t="s">
        <v>9</v>
      </c>
      <c r="F15" s="2"/>
      <c r="G15" s="2"/>
      <c r="H15" s="2"/>
      <c r="I15" s="2"/>
      <c r="J15" s="2"/>
      <c r="K15" s="2"/>
      <c r="L15" s="2"/>
      <c r="M15" s="89"/>
      <c r="N15" s="2"/>
      <c r="O15" s="2"/>
    </row>
    <row r="16" spans="2:15" x14ac:dyDescent="0.2">
      <c r="D16" s="2"/>
      <c r="E16" s="9"/>
      <c r="F16" s="2"/>
      <c r="G16" s="2"/>
      <c r="H16" s="2"/>
      <c r="I16" s="2"/>
      <c r="J16" s="2"/>
      <c r="K16" s="2"/>
      <c r="L16" s="2"/>
      <c r="M16" s="89"/>
      <c r="N16" s="2"/>
      <c r="O16" s="2"/>
    </row>
    <row r="17" spans="1:17" x14ac:dyDescent="0.2">
      <c r="B17" s="1" t="s">
        <v>10</v>
      </c>
      <c r="H17" s="2"/>
      <c r="I17" s="2"/>
      <c r="J17" s="2"/>
      <c r="K17" s="2"/>
      <c r="L17" s="2"/>
      <c r="M17" s="89"/>
      <c r="N17" s="2"/>
      <c r="O17" s="2"/>
    </row>
    <row r="18" spans="1:17" x14ac:dyDescent="0.2">
      <c r="G18" s="2"/>
      <c r="H18" s="2"/>
      <c r="I18" s="2"/>
      <c r="J18" s="2"/>
      <c r="K18" s="2"/>
      <c r="L18" s="2"/>
      <c r="M18" s="89"/>
      <c r="N18" s="2"/>
      <c r="O18" s="2"/>
    </row>
    <row r="19" spans="1:17" x14ac:dyDescent="0.2">
      <c r="D19" s="12" t="s">
        <v>11</v>
      </c>
      <c r="F19" s="2"/>
      <c r="G19" s="2"/>
      <c r="H19" s="2"/>
      <c r="I19" s="2"/>
      <c r="J19" s="2"/>
      <c r="K19" s="2"/>
      <c r="L19" s="2"/>
      <c r="M19" s="89"/>
      <c r="N19" s="2"/>
      <c r="O19" s="2"/>
    </row>
    <row r="20" spans="1:17" x14ac:dyDescent="0.2">
      <c r="D20" s="13"/>
      <c r="F20" s="2"/>
      <c r="G20" s="2"/>
      <c r="H20" s="2"/>
      <c r="I20" s="2"/>
      <c r="J20" s="2"/>
      <c r="K20" s="2"/>
      <c r="L20" s="2"/>
      <c r="M20" s="89"/>
      <c r="N20" s="2"/>
      <c r="O20" s="2"/>
    </row>
    <row r="21" spans="1:17" ht="27.95" customHeight="1" x14ac:dyDescent="0.2">
      <c r="A21" s="677" t="s">
        <v>12</v>
      </c>
      <c r="B21" s="677"/>
      <c r="C21" s="677"/>
      <c r="D21" s="677"/>
      <c r="E21" s="677"/>
      <c r="F21" s="677"/>
      <c r="G21" s="677"/>
      <c r="H21" s="677"/>
      <c r="I21" s="73"/>
      <c r="J21" s="73"/>
      <c r="K21" s="73"/>
      <c r="L21" s="73"/>
      <c r="M21" s="90"/>
      <c r="N21" s="73"/>
      <c r="O21" s="73"/>
    </row>
    <row r="22" spans="1:17" x14ac:dyDescent="0.2">
      <c r="D22" s="14" t="s">
        <v>13</v>
      </c>
      <c r="F22" s="2"/>
      <c r="G22" s="2"/>
      <c r="H22" s="2"/>
      <c r="I22" s="2"/>
      <c r="J22" s="2"/>
      <c r="K22" s="2"/>
      <c r="L22" s="2"/>
      <c r="M22" s="89"/>
      <c r="N22" s="2"/>
      <c r="O22" s="2"/>
    </row>
    <row r="23" spans="1:17" x14ac:dyDescent="0.2">
      <c r="H23" s="2"/>
      <c r="I23" s="2"/>
      <c r="J23" s="2"/>
      <c r="K23" s="2"/>
      <c r="L23" s="2"/>
      <c r="M23" s="89"/>
      <c r="N23" s="2"/>
      <c r="O23" s="2"/>
    </row>
    <row r="24" spans="1:17" ht="13.5" thickBot="1" x14ac:dyDescent="0.25">
      <c r="B24" s="1" t="s">
        <v>14</v>
      </c>
      <c r="D24" s="13"/>
      <c r="E24" s="2"/>
      <c r="F24" s="2"/>
      <c r="G24" s="2"/>
      <c r="H24" s="2"/>
      <c r="I24" s="2"/>
      <c r="J24" s="2"/>
      <c r="K24" s="2"/>
      <c r="L24" s="2"/>
      <c r="M24" s="89"/>
      <c r="N24" s="2"/>
      <c r="O24" s="2"/>
    </row>
    <row r="25" spans="1:17" ht="12.75" customHeight="1" x14ac:dyDescent="0.2">
      <c r="A25" s="678" t="s">
        <v>15</v>
      </c>
      <c r="B25" s="680" t="s">
        <v>16</v>
      </c>
      <c r="C25" s="680" t="s">
        <v>17</v>
      </c>
      <c r="D25" s="682" t="s">
        <v>18</v>
      </c>
      <c r="E25" s="682"/>
      <c r="F25" s="682"/>
      <c r="G25" s="682"/>
      <c r="H25" s="683" t="s">
        <v>19</v>
      </c>
      <c r="I25" s="74"/>
      <c r="J25" s="74"/>
      <c r="K25" s="74"/>
      <c r="L25" s="74"/>
      <c r="M25" s="91"/>
      <c r="N25" s="74"/>
      <c r="O25" s="74"/>
    </row>
    <row r="26" spans="1:17" ht="12.75" customHeight="1" x14ac:dyDescent="0.2">
      <c r="A26" s="679"/>
      <c r="B26" s="681"/>
      <c r="C26" s="681"/>
      <c r="D26" s="685" t="s">
        <v>20</v>
      </c>
      <c r="E26" s="685" t="s">
        <v>21</v>
      </c>
      <c r="F26" s="685" t="s">
        <v>22</v>
      </c>
      <c r="G26" s="685" t="s">
        <v>23</v>
      </c>
      <c r="H26" s="684"/>
      <c r="I26" s="74"/>
      <c r="J26" s="74"/>
      <c r="K26" s="74"/>
      <c r="L26" s="74"/>
      <c r="M26" s="91"/>
      <c r="N26" s="74"/>
      <c r="O26" s="74"/>
    </row>
    <row r="27" spans="1:17" x14ac:dyDescent="0.2">
      <c r="A27" s="679"/>
      <c r="B27" s="681"/>
      <c r="C27" s="681"/>
      <c r="D27" s="685"/>
      <c r="E27" s="685"/>
      <c r="F27" s="685"/>
      <c r="G27" s="685"/>
      <c r="H27" s="684"/>
      <c r="I27" s="74"/>
      <c r="J27" s="74"/>
      <c r="K27" s="74"/>
      <c r="L27" s="74"/>
      <c r="M27" s="91"/>
      <c r="N27" s="74"/>
      <c r="O27" s="74"/>
    </row>
    <row r="28" spans="1:17" x14ac:dyDescent="0.2">
      <c r="A28" s="679"/>
      <c r="B28" s="681"/>
      <c r="C28" s="681"/>
      <c r="D28" s="685"/>
      <c r="E28" s="685"/>
      <c r="F28" s="685"/>
      <c r="G28" s="685"/>
      <c r="H28" s="684"/>
      <c r="I28" s="74"/>
      <c r="J28" s="74"/>
      <c r="K28" s="74"/>
      <c r="L28" s="74"/>
      <c r="M28" s="91"/>
      <c r="N28" s="74"/>
      <c r="O28" s="74"/>
    </row>
    <row r="29" spans="1:17" x14ac:dyDescent="0.2">
      <c r="A29" s="15">
        <v>1</v>
      </c>
      <c r="B29" s="16">
        <v>2</v>
      </c>
      <c r="C29" s="16">
        <v>3</v>
      </c>
      <c r="D29" s="17">
        <v>4</v>
      </c>
      <c r="E29" s="17">
        <v>5</v>
      </c>
      <c r="F29" s="17">
        <v>6</v>
      </c>
      <c r="G29" s="17">
        <v>7</v>
      </c>
      <c r="H29" s="18">
        <v>8</v>
      </c>
      <c r="I29" s="73"/>
      <c r="J29" s="73"/>
      <c r="K29" s="73"/>
      <c r="L29" s="73"/>
      <c r="M29" s="90"/>
      <c r="N29" s="73"/>
      <c r="O29" s="73"/>
    </row>
    <row r="30" spans="1:17" ht="12.75" customHeight="1" x14ac:dyDescent="0.2">
      <c r="A30" s="686" t="s">
        <v>24</v>
      </c>
      <c r="B30" s="687"/>
      <c r="C30" s="687"/>
      <c r="D30" s="687"/>
      <c r="E30" s="687"/>
      <c r="F30" s="687"/>
      <c r="G30" s="687"/>
      <c r="H30" s="688"/>
      <c r="I30" s="75"/>
      <c r="J30" s="75"/>
      <c r="K30" s="75"/>
      <c r="L30" s="75"/>
      <c r="M30" s="92"/>
      <c r="N30" s="75"/>
      <c r="O30" s="75"/>
    </row>
    <row r="31" spans="1:17" x14ac:dyDescent="0.2">
      <c r="A31" s="22">
        <v>1</v>
      </c>
      <c r="B31" s="23" t="s">
        <v>25</v>
      </c>
      <c r="C31" s="23" t="s">
        <v>26</v>
      </c>
      <c r="D31" s="24">
        <v>5272.04</v>
      </c>
      <c r="E31" s="25"/>
      <c r="F31" s="25"/>
      <c r="G31" s="25"/>
      <c r="H31" s="26">
        <f>D31+E31+F31+G31</f>
        <v>5272.04</v>
      </c>
      <c r="I31" s="76"/>
      <c r="J31" s="76"/>
      <c r="K31" s="76"/>
      <c r="L31" s="76"/>
      <c r="M31" s="93"/>
      <c r="N31" s="76">
        <f>(D31+E31+J31+K31+L31)*8.1*1000</f>
        <v>42703524</v>
      </c>
      <c r="O31" s="76">
        <f>N31-P31</f>
        <v>-1271710.94</v>
      </c>
      <c r="P31" s="62">
        <f>((D31)*1.023*1.01-(D31)*0.023*0.15)*8.1*1000</f>
        <v>43975234.939999998</v>
      </c>
      <c r="Q31" s="62">
        <f>((E31)*1.023*1.01-(E31)*0.023*0.15)*8.1*1000</f>
        <v>0</v>
      </c>
    </row>
    <row r="32" spans="1:17" x14ac:dyDescent="0.2">
      <c r="A32" s="22">
        <v>2</v>
      </c>
      <c r="B32" s="23" t="s">
        <v>27</v>
      </c>
      <c r="C32" s="23" t="s">
        <v>28</v>
      </c>
      <c r="D32" s="24">
        <v>560.4</v>
      </c>
      <c r="E32" s="25"/>
      <c r="F32" s="25"/>
      <c r="G32" s="25"/>
      <c r="H32" s="26">
        <f t="shared" ref="H32:H35" si="0">D32+E32+F32+G32</f>
        <v>560.4</v>
      </c>
      <c r="I32" s="76"/>
      <c r="J32" s="76"/>
      <c r="K32" s="76"/>
      <c r="L32" s="76"/>
      <c r="M32" s="93"/>
      <c r="N32" s="76">
        <f>(D32+E32+J32+K32+L32)*8.1*1000</f>
        <v>4539240</v>
      </c>
      <c r="O32" s="76"/>
      <c r="P32" s="62">
        <f>((D32)*1.023*1.01-(D32)*0.023*0.15)*8.1*1000</f>
        <v>4674418.57</v>
      </c>
      <c r="Q32" s="62">
        <f>((E32)*1.023*1.01-(E32)*0.023*0.15)*8.1*1000</f>
        <v>0</v>
      </c>
    </row>
    <row r="33" spans="1:264" hidden="1" x14ac:dyDescent="0.2">
      <c r="A33" s="22">
        <v>3</v>
      </c>
      <c r="B33" s="23"/>
      <c r="C33" s="27"/>
      <c r="D33" s="24"/>
      <c r="E33" s="25"/>
      <c r="F33" s="25"/>
      <c r="G33" s="25"/>
      <c r="H33" s="26"/>
      <c r="I33" s="76"/>
      <c r="J33" s="76"/>
      <c r="K33" s="76"/>
      <c r="L33" s="76"/>
      <c r="M33" s="93"/>
      <c r="N33" s="76"/>
      <c r="O33" s="76"/>
      <c r="P33" s="62"/>
      <c r="Q33" s="62"/>
    </row>
    <row r="34" spans="1:264" ht="27" customHeight="1" x14ac:dyDescent="0.2">
      <c r="A34" s="22">
        <v>3</v>
      </c>
      <c r="B34" s="23" t="s">
        <v>29</v>
      </c>
      <c r="C34" s="23" t="s">
        <v>30</v>
      </c>
      <c r="D34" s="25"/>
      <c r="E34" s="25"/>
      <c r="F34" s="25"/>
      <c r="G34" s="24">
        <f>ROUND((1673.31+6348.47)/4.35/1.266,2)</f>
        <v>1456.63</v>
      </c>
      <c r="H34" s="26">
        <f t="shared" si="0"/>
        <v>1456.63</v>
      </c>
      <c r="I34" s="76"/>
      <c r="J34" s="76"/>
      <c r="K34" s="76"/>
      <c r="L34" s="76"/>
      <c r="M34" s="93"/>
      <c r="N34" s="76"/>
      <c r="O34" s="76"/>
      <c r="P34" s="62"/>
      <c r="Q34" s="62"/>
    </row>
    <row r="35" spans="1:264" ht="25.5" x14ac:dyDescent="0.2">
      <c r="A35" s="22">
        <v>4</v>
      </c>
      <c r="B35" s="23" t="s">
        <v>31</v>
      </c>
      <c r="C35" s="23" t="s">
        <v>32</v>
      </c>
      <c r="D35" s="25"/>
      <c r="E35" s="25"/>
      <c r="F35" s="25"/>
      <c r="G35" s="24">
        <f>ROUND(48238.26/1.2/10.79/1000,2)</f>
        <v>3.73</v>
      </c>
      <c r="H35" s="26">
        <f t="shared" si="0"/>
        <v>3.73</v>
      </c>
      <c r="I35" s="76"/>
      <c r="J35" s="76"/>
      <c r="K35" s="76"/>
      <c r="L35" s="76"/>
      <c r="M35" s="93"/>
      <c r="N35" s="76"/>
      <c r="O35" s="76"/>
      <c r="P35" s="62"/>
      <c r="Q35" s="62"/>
    </row>
    <row r="36" spans="1:264" s="86" customFormat="1" ht="27.95" customHeight="1" x14ac:dyDescent="0.2">
      <c r="A36" s="63"/>
      <c r="B36" s="673" t="s">
        <v>33</v>
      </c>
      <c r="C36" s="673"/>
      <c r="D36" s="32">
        <f>SUM(D31:D35)</f>
        <v>5832.44</v>
      </c>
      <c r="E36" s="32">
        <f>SUM(E31:E35)</f>
        <v>0</v>
      </c>
      <c r="F36" s="32">
        <f>SUM(F31:F35)</f>
        <v>0</v>
      </c>
      <c r="G36" s="32">
        <f>SUM(G31:G35)</f>
        <v>1460.36</v>
      </c>
      <c r="H36" s="57">
        <f>SUM(H31:H35)</f>
        <v>7292.8</v>
      </c>
      <c r="I36" s="57">
        <f>D36*8.1*1000</f>
        <v>47242764</v>
      </c>
      <c r="J36" s="57">
        <f>(D36+E36)*2.3%</f>
        <v>134.15</v>
      </c>
      <c r="K36" s="57">
        <f>(D36+E36+J36)*1%</f>
        <v>59.67</v>
      </c>
      <c r="L36" s="57">
        <f>-J36*15%</f>
        <v>-20.12</v>
      </c>
      <c r="M36" s="94">
        <f>(J36+K36+L36)*8.1*1000</f>
        <v>1406970</v>
      </c>
      <c r="N36" s="57">
        <f t="shared" ref="N36:O36" si="1">SUM(N31:N35)</f>
        <v>47242764</v>
      </c>
      <c r="O36" s="57">
        <f t="shared" si="1"/>
        <v>-1271710.94</v>
      </c>
      <c r="P36" s="57">
        <f>SUM(P31:P35)</f>
        <v>48649653.509999998</v>
      </c>
      <c r="Q36" s="57">
        <f t="shared" ref="Q36" si="2">SUM(Q31:Q35)</f>
        <v>0</v>
      </c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</row>
    <row r="37" spans="1:264" ht="12.75" customHeight="1" x14ac:dyDescent="0.2">
      <c r="A37" s="686" t="s">
        <v>34</v>
      </c>
      <c r="B37" s="687"/>
      <c r="C37" s="687"/>
      <c r="D37" s="687"/>
      <c r="E37" s="687"/>
      <c r="F37" s="687"/>
      <c r="G37" s="687"/>
      <c r="H37" s="688"/>
      <c r="I37" s="75"/>
      <c r="J37" s="75"/>
      <c r="K37" s="75"/>
      <c r="L37" s="75"/>
      <c r="M37" s="92"/>
      <c r="N37" s="75"/>
      <c r="O37" s="75"/>
      <c r="P37" s="62"/>
      <c r="Q37" s="62"/>
    </row>
    <row r="38" spans="1:264" x14ac:dyDescent="0.2">
      <c r="A38" s="22">
        <v>5</v>
      </c>
      <c r="B38" s="23" t="s">
        <v>35</v>
      </c>
      <c r="C38" s="23" t="s">
        <v>36</v>
      </c>
      <c r="D38" s="24">
        <v>18277.439999999999</v>
      </c>
      <c r="E38" s="24">
        <v>2923.67</v>
      </c>
      <c r="F38" s="24">
        <v>335142.42</v>
      </c>
      <c r="G38" s="25"/>
      <c r="H38" s="26">
        <f>D38+E38+F38+G38</f>
        <v>356343.53</v>
      </c>
      <c r="I38" s="76"/>
      <c r="J38" s="76"/>
      <c r="K38" s="76"/>
      <c r="L38" s="76"/>
      <c r="M38" s="93"/>
      <c r="N38" s="76">
        <f t="shared" ref="N38:N43" si="3">(D38+E38+J38+K38+L38)*8.1*1000</f>
        <v>171728991</v>
      </c>
      <c r="O38" s="76">
        <f>N38-P38-Q38</f>
        <v>-5114089.3499999996</v>
      </c>
      <c r="P38" s="62">
        <f t="shared" ref="P38:Q43" si="4">((D38)*1.023*1.01-(D38)*0.023*0.15)*8.1*1000</f>
        <v>152456111.52000001</v>
      </c>
      <c r="Q38" s="62">
        <f t="shared" si="4"/>
        <v>24386968.829999998</v>
      </c>
    </row>
    <row r="39" spans="1:264" x14ac:dyDescent="0.2">
      <c r="A39" s="22">
        <v>6</v>
      </c>
      <c r="B39" s="23" t="s">
        <v>37</v>
      </c>
      <c r="C39" s="23" t="s">
        <v>38</v>
      </c>
      <c r="D39" s="24">
        <v>6999.66</v>
      </c>
      <c r="E39" s="24">
        <v>1809.76</v>
      </c>
      <c r="F39" s="24">
        <v>215690.58</v>
      </c>
      <c r="G39" s="25"/>
      <c r="H39" s="26">
        <f t="shared" ref="H39:H43" si="5">D39+E39+F39+G39</f>
        <v>224500</v>
      </c>
      <c r="I39" s="76"/>
      <c r="J39" s="76"/>
      <c r="K39" s="76"/>
      <c r="L39" s="76"/>
      <c r="M39" s="93"/>
      <c r="N39" s="76">
        <f t="shared" si="3"/>
        <v>71356302</v>
      </c>
      <c r="O39" s="76">
        <f t="shared" ref="O39:O43" si="6">N39-P39-Q39</f>
        <v>-2124990.6800000002</v>
      </c>
      <c r="P39" s="62">
        <f t="shared" si="4"/>
        <v>58385689.990000002</v>
      </c>
      <c r="Q39" s="62">
        <f t="shared" si="4"/>
        <v>15095602.689999999</v>
      </c>
    </row>
    <row r="40" spans="1:264" x14ac:dyDescent="0.2">
      <c r="A40" s="22">
        <v>7</v>
      </c>
      <c r="B40" s="23" t="s">
        <v>39</v>
      </c>
      <c r="C40" s="23" t="s">
        <v>40</v>
      </c>
      <c r="D40" s="24">
        <v>55481.05</v>
      </c>
      <c r="E40" s="25"/>
      <c r="F40" s="25"/>
      <c r="G40" s="25"/>
      <c r="H40" s="26">
        <f t="shared" si="5"/>
        <v>55481.05</v>
      </c>
      <c r="I40" s="76"/>
      <c r="J40" s="76"/>
      <c r="K40" s="76"/>
      <c r="L40" s="76"/>
      <c r="M40" s="93"/>
      <c r="N40" s="76">
        <f t="shared" si="3"/>
        <v>449396505</v>
      </c>
      <c r="O40" s="76">
        <f t="shared" si="6"/>
        <v>-13383027.92</v>
      </c>
      <c r="P40" s="62">
        <f t="shared" si="4"/>
        <v>462779532.92000002</v>
      </c>
      <c r="Q40" s="62">
        <f t="shared" si="4"/>
        <v>0</v>
      </c>
    </row>
    <row r="41" spans="1:264" x14ac:dyDescent="0.2">
      <c r="A41" s="22">
        <v>8</v>
      </c>
      <c r="B41" s="23" t="s">
        <v>41</v>
      </c>
      <c r="C41" s="23" t="s">
        <v>42</v>
      </c>
      <c r="D41" s="24">
        <v>3593.23</v>
      </c>
      <c r="E41" s="24">
        <v>552.15</v>
      </c>
      <c r="F41" s="24">
        <v>3256.7</v>
      </c>
      <c r="G41" s="25"/>
      <c r="H41" s="26">
        <f t="shared" si="5"/>
        <v>7402.08</v>
      </c>
      <c r="I41" s="76"/>
      <c r="J41" s="76"/>
      <c r="K41" s="76"/>
      <c r="L41" s="76"/>
      <c r="M41" s="93"/>
      <c r="N41" s="76">
        <f t="shared" si="3"/>
        <v>33577578</v>
      </c>
      <c r="O41" s="76">
        <f t="shared" si="6"/>
        <v>-999940.27</v>
      </c>
      <c r="P41" s="62">
        <f t="shared" si="4"/>
        <v>29971914.75</v>
      </c>
      <c r="Q41" s="62">
        <f t="shared" si="4"/>
        <v>4605603.5199999996</v>
      </c>
    </row>
    <row r="42" spans="1:264" x14ac:dyDescent="0.2">
      <c r="A42" s="22">
        <v>9</v>
      </c>
      <c r="B42" s="23" t="s">
        <v>43</v>
      </c>
      <c r="C42" s="23" t="s">
        <v>44</v>
      </c>
      <c r="D42" s="24">
        <v>1750.51</v>
      </c>
      <c r="E42" s="25"/>
      <c r="F42" s="25"/>
      <c r="G42" s="25"/>
      <c r="H42" s="26">
        <f t="shared" si="5"/>
        <v>1750.51</v>
      </c>
      <c r="I42" s="76"/>
      <c r="J42" s="76"/>
      <c r="K42" s="76"/>
      <c r="L42" s="76"/>
      <c r="M42" s="93"/>
      <c r="N42" s="76">
        <f t="shared" si="3"/>
        <v>14179131</v>
      </c>
      <c r="O42" s="76">
        <f t="shared" si="6"/>
        <v>-422254.52</v>
      </c>
      <c r="P42" s="62">
        <f t="shared" si="4"/>
        <v>14601385.52</v>
      </c>
      <c r="Q42" s="62">
        <f t="shared" si="4"/>
        <v>0</v>
      </c>
    </row>
    <row r="43" spans="1:264" x14ac:dyDescent="0.2">
      <c r="A43" s="22">
        <v>10</v>
      </c>
      <c r="B43" s="23" t="s">
        <v>45</v>
      </c>
      <c r="C43" s="23" t="s">
        <v>46</v>
      </c>
      <c r="D43" s="24">
        <v>1154.8699999999999</v>
      </c>
      <c r="E43" s="25"/>
      <c r="F43" s="25"/>
      <c r="G43" s="25"/>
      <c r="H43" s="26">
        <f t="shared" si="5"/>
        <v>1154.8699999999999</v>
      </c>
      <c r="I43" s="76"/>
      <c r="J43" s="76"/>
      <c r="K43" s="76"/>
      <c r="L43" s="76"/>
      <c r="M43" s="93"/>
      <c r="N43" s="76">
        <f t="shared" si="3"/>
        <v>9354447</v>
      </c>
      <c r="O43" s="76">
        <f t="shared" si="6"/>
        <v>-278575.43</v>
      </c>
      <c r="P43" s="62">
        <f t="shared" si="4"/>
        <v>9633022.4299999997</v>
      </c>
      <c r="Q43" s="62">
        <f t="shared" si="4"/>
        <v>0</v>
      </c>
    </row>
    <row r="44" spans="1:264" s="86" customFormat="1" ht="17.25" customHeight="1" x14ac:dyDescent="0.2">
      <c r="A44" s="63"/>
      <c r="B44" s="673" t="s">
        <v>47</v>
      </c>
      <c r="C44" s="673"/>
      <c r="D44" s="32">
        <f>D38+D39+D40+D41+D42+D43</f>
        <v>87256.76</v>
      </c>
      <c r="E44" s="32">
        <f>E38+E39+E40+E41+E42+E43</f>
        <v>5285.58</v>
      </c>
      <c r="F44" s="32">
        <f>F38+F39+F40+F41+F42+F43</f>
        <v>554089.69999999995</v>
      </c>
      <c r="G44" s="32"/>
      <c r="H44" s="57">
        <f>H38+H39+H40+H41+H42+H43</f>
        <v>646632.04</v>
      </c>
      <c r="I44" s="57">
        <f>(D44+E44)*8.1*1000</f>
        <v>749592954</v>
      </c>
      <c r="J44" s="57">
        <f>(D44+E44)*2.3%</f>
        <v>2128.4699999999998</v>
      </c>
      <c r="K44" s="57">
        <f>(D44+E44+J44)*1%</f>
        <v>946.71</v>
      </c>
      <c r="L44" s="57">
        <f>-J44*15%</f>
        <v>-319.27</v>
      </c>
      <c r="M44" s="94">
        <f>(J44+K44+L44)*8.1*1000</f>
        <v>22322871</v>
      </c>
      <c r="N44" s="57">
        <f t="shared" ref="N44" si="7">N38+N39+N40+N41+N42+N43</f>
        <v>749592954</v>
      </c>
      <c r="O44" s="57">
        <f t="shared" ref="O44" si="8">O38+O39+O40+O41+O42+O43</f>
        <v>-22322878.170000002</v>
      </c>
      <c r="P44" s="57">
        <f t="shared" ref="P44:Q44" si="9">P38+P39+P40+P41+P42+P43</f>
        <v>727827657.13</v>
      </c>
      <c r="Q44" s="57">
        <f t="shared" si="9"/>
        <v>44088175.039999999</v>
      </c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  <c r="IW44" s="58"/>
      <c r="IX44" s="58"/>
      <c r="IY44" s="58"/>
      <c r="IZ44" s="58"/>
      <c r="JA44" s="58"/>
      <c r="JB44" s="58"/>
      <c r="JC44" s="58"/>
      <c r="JD44" s="58"/>
    </row>
    <row r="45" spans="1:264" ht="12.75" customHeight="1" x14ac:dyDescent="0.2">
      <c r="A45" s="686" t="s">
        <v>48</v>
      </c>
      <c r="B45" s="687"/>
      <c r="C45" s="687"/>
      <c r="D45" s="687"/>
      <c r="E45" s="687"/>
      <c r="F45" s="687"/>
      <c r="G45" s="687"/>
      <c r="H45" s="688"/>
      <c r="I45" s="75"/>
      <c r="J45" s="75"/>
      <c r="K45" s="75"/>
      <c r="L45" s="75"/>
      <c r="M45" s="92"/>
      <c r="N45" s="75"/>
      <c r="O45" s="75"/>
      <c r="P45" s="62"/>
      <c r="Q45" s="62"/>
    </row>
    <row r="46" spans="1:264" x14ac:dyDescent="0.2">
      <c r="A46" s="22">
        <v>11</v>
      </c>
      <c r="B46" s="23" t="s">
        <v>49</v>
      </c>
      <c r="C46" s="23" t="s">
        <v>50</v>
      </c>
      <c r="D46" s="24">
        <v>1166.3800000000001</v>
      </c>
      <c r="E46" s="24">
        <v>79.45</v>
      </c>
      <c r="F46" s="24">
        <v>2558.35</v>
      </c>
      <c r="G46" s="25"/>
      <c r="H46" s="26">
        <f>D46+E46+F46+G46</f>
        <v>3804.18</v>
      </c>
      <c r="I46" s="76"/>
      <c r="J46" s="76"/>
      <c r="K46" s="76"/>
      <c r="L46" s="76"/>
      <c r="M46" s="93"/>
      <c r="N46" s="76"/>
      <c r="O46" s="76"/>
      <c r="P46" s="62"/>
      <c r="Q46" s="62"/>
    </row>
    <row r="47" spans="1:264" s="86" customFormat="1" ht="18" customHeight="1" x14ac:dyDescent="0.2">
      <c r="A47" s="63"/>
      <c r="B47" s="673" t="s">
        <v>51</v>
      </c>
      <c r="C47" s="673"/>
      <c r="D47" s="32">
        <f>D46</f>
        <v>1166.3800000000001</v>
      </c>
      <c r="E47" s="32">
        <f>E46</f>
        <v>79.45</v>
      </c>
      <c r="F47" s="32">
        <f>F46</f>
        <v>2558.35</v>
      </c>
      <c r="G47" s="32"/>
      <c r="H47" s="57">
        <f>H46</f>
        <v>3804.18</v>
      </c>
      <c r="I47" s="77"/>
      <c r="J47" s="32">
        <f>(D47+E47)*2.3%</f>
        <v>28.65</v>
      </c>
      <c r="K47" s="32">
        <f>(D47+E47+J47)*1%</f>
        <v>12.74</v>
      </c>
      <c r="L47" s="32">
        <f>-J47*15%</f>
        <v>-4.3</v>
      </c>
      <c r="M47" s="95"/>
      <c r="N47" s="77"/>
      <c r="O47" s="77"/>
      <c r="P47" s="87"/>
      <c r="Q47" s="87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  <c r="IW47" s="58"/>
      <c r="IX47" s="58"/>
      <c r="IY47" s="58"/>
      <c r="IZ47" s="58"/>
      <c r="JA47" s="58"/>
      <c r="JB47" s="58"/>
      <c r="JC47" s="58"/>
      <c r="JD47" s="58"/>
    </row>
    <row r="48" spans="1:264" ht="12.75" customHeight="1" x14ac:dyDescent="0.2">
      <c r="A48" s="686" t="s">
        <v>52</v>
      </c>
      <c r="B48" s="687"/>
      <c r="C48" s="687"/>
      <c r="D48" s="687"/>
      <c r="E48" s="687"/>
      <c r="F48" s="687"/>
      <c r="G48" s="687"/>
      <c r="H48" s="688"/>
      <c r="I48" s="75"/>
      <c r="J48" s="75"/>
      <c r="K48" s="75"/>
      <c r="L48" s="75"/>
      <c r="M48" s="92"/>
      <c r="N48" s="75"/>
      <c r="O48" s="75"/>
      <c r="P48" s="62"/>
      <c r="Q48" s="62"/>
    </row>
    <row r="49" spans="1:264" x14ac:dyDescent="0.2">
      <c r="A49" s="22">
        <v>12</v>
      </c>
      <c r="B49" s="23" t="s">
        <v>53</v>
      </c>
      <c r="C49" s="23" t="s">
        <v>54</v>
      </c>
      <c r="D49" s="24">
        <v>1542.92</v>
      </c>
      <c r="E49" s="24">
        <v>77.03</v>
      </c>
      <c r="F49" s="24">
        <v>4690.95</v>
      </c>
      <c r="G49" s="25"/>
      <c r="H49" s="26">
        <f>D49+E49+F49+G49</f>
        <v>6310.9</v>
      </c>
      <c r="I49" s="76"/>
      <c r="J49" s="76"/>
      <c r="K49" s="76"/>
      <c r="L49" s="76"/>
      <c r="M49" s="93"/>
      <c r="N49" s="76">
        <f>(D49+E49+J49+K49+L49)*8.1*1000</f>
        <v>13121595</v>
      </c>
      <c r="O49" s="76">
        <f>N49-P49-Q49</f>
        <v>-390761.1</v>
      </c>
      <c r="P49" s="62">
        <f>((D49)*1.023*1.01-(D49)*0.023*0.15)*8.1*1000</f>
        <v>12869832.08</v>
      </c>
      <c r="Q49" s="62">
        <f>((E49)*1.023*1.01-(E49)*0.023*0.15)*8.1*1000</f>
        <v>642524.02</v>
      </c>
    </row>
    <row r="50" spans="1:264" s="86" customFormat="1" ht="27.95" customHeight="1" x14ac:dyDescent="0.2">
      <c r="A50" s="63"/>
      <c r="B50" s="673" t="s">
        <v>55</v>
      </c>
      <c r="C50" s="673"/>
      <c r="D50" s="32">
        <f>D49</f>
        <v>1542.92</v>
      </c>
      <c r="E50" s="32">
        <f>E49</f>
        <v>77.03</v>
      </c>
      <c r="F50" s="32">
        <f>F49</f>
        <v>4690.95</v>
      </c>
      <c r="G50" s="32"/>
      <c r="H50" s="57">
        <f>H49</f>
        <v>6310.9</v>
      </c>
      <c r="I50" s="57">
        <f>(D50+E50)*8.1*1000</f>
        <v>13121595</v>
      </c>
      <c r="J50" s="57">
        <f>(D50+E50)*2.3%</f>
        <v>37.26</v>
      </c>
      <c r="K50" s="57">
        <f>(D50+E50+J50)*1%</f>
        <v>16.57</v>
      </c>
      <c r="L50" s="57">
        <f>-J50*15%</f>
        <v>-5.59</v>
      </c>
      <c r="M50" s="94">
        <f>(J50+K50+L50)*8.1*1000</f>
        <v>390744</v>
      </c>
      <c r="N50" s="57">
        <f t="shared" ref="N50" si="10">N49</f>
        <v>13121595</v>
      </c>
      <c r="O50" s="57">
        <f t="shared" ref="O50" si="11">O49</f>
        <v>-390761.1</v>
      </c>
      <c r="P50" s="57">
        <f t="shared" ref="P50:Q50" si="12">P49</f>
        <v>12869832.08</v>
      </c>
      <c r="Q50" s="57">
        <f t="shared" si="12"/>
        <v>642524.02</v>
      </c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  <c r="IW50" s="58"/>
      <c r="IX50" s="58"/>
      <c r="IY50" s="58"/>
      <c r="IZ50" s="58"/>
      <c r="JA50" s="58"/>
      <c r="JB50" s="58"/>
      <c r="JC50" s="58"/>
      <c r="JD50" s="58"/>
    </row>
    <row r="51" spans="1:264" ht="12.75" customHeight="1" x14ac:dyDescent="0.2">
      <c r="A51" s="686" t="s">
        <v>56</v>
      </c>
      <c r="B51" s="687"/>
      <c r="C51" s="687"/>
      <c r="D51" s="687"/>
      <c r="E51" s="687"/>
      <c r="F51" s="687"/>
      <c r="G51" s="687"/>
      <c r="H51" s="688"/>
      <c r="I51" s="75"/>
      <c r="J51" s="75"/>
      <c r="K51" s="75"/>
      <c r="L51" s="75"/>
      <c r="M51" s="92"/>
      <c r="N51" s="75"/>
      <c r="O51" s="75"/>
      <c r="P51" s="62"/>
      <c r="Q51" s="62"/>
    </row>
    <row r="52" spans="1:264" hidden="1" x14ac:dyDescent="0.2">
      <c r="A52" s="22"/>
      <c r="B52" s="23"/>
      <c r="C52" s="23"/>
      <c r="D52" s="29"/>
      <c r="E52" s="29"/>
      <c r="F52" s="29"/>
      <c r="G52" s="30"/>
      <c r="H52" s="31"/>
      <c r="I52" s="83"/>
      <c r="J52" s="83"/>
      <c r="K52" s="83"/>
      <c r="L52" s="83"/>
      <c r="M52" s="96"/>
      <c r="N52" s="83"/>
      <c r="O52" s="83"/>
      <c r="P52" s="62"/>
      <c r="Q52" s="62"/>
    </row>
    <row r="53" spans="1:264" ht="15.75" customHeight="1" x14ac:dyDescent="0.2">
      <c r="A53" s="22">
        <v>13</v>
      </c>
      <c r="B53" s="23" t="s">
        <v>57</v>
      </c>
      <c r="C53" s="23" t="s">
        <v>58</v>
      </c>
      <c r="D53" s="24">
        <v>1387.33</v>
      </c>
      <c r="E53" s="24">
        <v>9.41</v>
      </c>
      <c r="F53" s="24"/>
      <c r="G53" s="25"/>
      <c r="H53" s="26">
        <f>D53+E53+F53+G53</f>
        <v>1396.74</v>
      </c>
      <c r="I53" s="76"/>
      <c r="J53" s="76"/>
      <c r="K53" s="76"/>
      <c r="L53" s="76"/>
      <c r="M53" s="93"/>
      <c r="N53" s="76"/>
      <c r="O53" s="76"/>
      <c r="P53" s="62"/>
      <c r="Q53" s="62"/>
    </row>
    <row r="54" spans="1:264" ht="15.75" customHeight="1" x14ac:dyDescent="0.2">
      <c r="A54" s="22">
        <v>14</v>
      </c>
      <c r="B54" s="23" t="s">
        <v>59</v>
      </c>
      <c r="C54" s="23" t="s">
        <v>60</v>
      </c>
      <c r="D54" s="24">
        <v>1857.64</v>
      </c>
      <c r="E54" s="24">
        <v>3.8</v>
      </c>
      <c r="F54" s="24">
        <v>6501.21</v>
      </c>
      <c r="G54" s="25"/>
      <c r="H54" s="26">
        <f t="shared" ref="H54:H55" si="13">D54+E54+F54+G54</f>
        <v>8362.65</v>
      </c>
      <c r="I54" s="76"/>
      <c r="J54" s="76"/>
      <c r="K54" s="76"/>
      <c r="L54" s="76"/>
      <c r="M54" s="93"/>
      <c r="N54" s="76"/>
      <c r="O54" s="76"/>
      <c r="P54" s="62"/>
      <c r="Q54" s="62"/>
    </row>
    <row r="55" spans="1:264" ht="15.75" customHeight="1" x14ac:dyDescent="0.2">
      <c r="A55" s="22">
        <v>15</v>
      </c>
      <c r="B55" s="23" t="s">
        <v>61</v>
      </c>
      <c r="C55" s="23" t="s">
        <v>62</v>
      </c>
      <c r="D55" s="24">
        <v>451.26</v>
      </c>
      <c r="E55" s="24"/>
      <c r="F55" s="24"/>
      <c r="G55" s="25"/>
      <c r="H55" s="26">
        <f t="shared" si="13"/>
        <v>451.26</v>
      </c>
      <c r="I55" s="76"/>
      <c r="J55" s="76"/>
      <c r="K55" s="76"/>
      <c r="L55" s="76"/>
      <c r="M55" s="93"/>
      <c r="N55" s="76"/>
      <c r="O55" s="76"/>
      <c r="P55" s="62"/>
      <c r="Q55" s="62"/>
    </row>
    <row r="56" spans="1:264" s="86" customFormat="1" ht="27.95" customHeight="1" x14ac:dyDescent="0.2">
      <c r="A56" s="63"/>
      <c r="B56" s="673" t="s">
        <v>63</v>
      </c>
      <c r="C56" s="673"/>
      <c r="D56" s="32">
        <f>SUM(D53:D55)</f>
        <v>3696.23</v>
      </c>
      <c r="E56" s="32">
        <f>SUM(E53:E55)</f>
        <v>13.21</v>
      </c>
      <c r="F56" s="32">
        <f>SUM(F53:F55)</f>
        <v>6501.21</v>
      </c>
      <c r="G56" s="32"/>
      <c r="H56" s="57">
        <f>SUM(H53:H55)</f>
        <v>10210.65</v>
      </c>
      <c r="I56" s="77"/>
      <c r="J56" s="32">
        <f>(D56+E56)*2.3%</f>
        <v>85.32</v>
      </c>
      <c r="K56" s="32">
        <f>(D56+E56+J56)*1%</f>
        <v>37.950000000000003</v>
      </c>
      <c r="L56" s="32">
        <f>-J56*15%</f>
        <v>-12.8</v>
      </c>
      <c r="M56" s="95"/>
      <c r="N56" s="77"/>
      <c r="O56" s="77"/>
      <c r="P56" s="87"/>
      <c r="Q56" s="87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  <c r="IW56" s="58"/>
      <c r="IX56" s="58"/>
      <c r="IY56" s="58"/>
      <c r="IZ56" s="58"/>
      <c r="JA56" s="58"/>
      <c r="JB56" s="58"/>
      <c r="JC56" s="58"/>
      <c r="JD56" s="58"/>
    </row>
    <row r="57" spans="1:264" ht="12.75" customHeight="1" x14ac:dyDescent="0.2">
      <c r="A57" s="686" t="s">
        <v>64</v>
      </c>
      <c r="B57" s="687"/>
      <c r="C57" s="687"/>
      <c r="D57" s="687"/>
      <c r="E57" s="687"/>
      <c r="F57" s="687"/>
      <c r="G57" s="687"/>
      <c r="H57" s="688"/>
      <c r="I57" s="75"/>
      <c r="J57" s="75"/>
      <c r="K57" s="75"/>
      <c r="L57" s="75"/>
      <c r="M57" s="92"/>
      <c r="N57" s="75"/>
      <c r="O57" s="75"/>
      <c r="P57" s="62"/>
      <c r="Q57" s="62"/>
    </row>
    <row r="58" spans="1:264" ht="25.5" x14ac:dyDescent="0.2">
      <c r="A58" s="22">
        <v>16</v>
      </c>
      <c r="B58" s="23" t="s">
        <v>65</v>
      </c>
      <c r="C58" s="23" t="s">
        <v>66</v>
      </c>
      <c r="D58" s="24">
        <v>1763.56</v>
      </c>
      <c r="E58" s="25"/>
      <c r="F58" s="25"/>
      <c r="G58" s="25"/>
      <c r="H58" s="26">
        <f>D58</f>
        <v>1763.56</v>
      </c>
      <c r="I58" s="76"/>
      <c r="J58" s="76"/>
      <c r="K58" s="76"/>
      <c r="L58" s="76"/>
      <c r="M58" s="93"/>
      <c r="N58" s="76">
        <f>(D58+E58+J58+K58+L58)*8.1*1000</f>
        <v>14284836</v>
      </c>
      <c r="O58" s="76">
        <f t="shared" ref="O58:O59" si="14">N58-P58</f>
        <v>-425402.42</v>
      </c>
      <c r="P58" s="62">
        <f>((D58)*1.023*1.01-(D58)*0.023*0.15)*8.1*1000</f>
        <v>14710238.42</v>
      </c>
      <c r="Q58" s="62">
        <f>((E58)*1.023*1.01-(E58)*0.023*0.15)*8.1*1000</f>
        <v>0</v>
      </c>
    </row>
    <row r="59" spans="1:264" ht="25.5" x14ac:dyDescent="0.2">
      <c r="A59" s="22">
        <v>17</v>
      </c>
      <c r="B59" s="23" t="s">
        <v>67</v>
      </c>
      <c r="C59" s="23" t="s">
        <v>68</v>
      </c>
      <c r="D59" s="24">
        <v>1116.42</v>
      </c>
      <c r="E59" s="25"/>
      <c r="F59" s="25"/>
      <c r="G59" s="25"/>
      <c r="H59" s="26">
        <f>D59</f>
        <v>1116.42</v>
      </c>
      <c r="I59" s="76"/>
      <c r="J59" s="76"/>
      <c r="K59" s="76"/>
      <c r="L59" s="76"/>
      <c r="M59" s="93"/>
      <c r="N59" s="76">
        <f>(D59+E59+J59+K59+L59)*8.1*1000</f>
        <v>9043002</v>
      </c>
      <c r="O59" s="76">
        <f t="shared" si="14"/>
        <v>-269300.59999999998</v>
      </c>
      <c r="P59" s="62">
        <f>((D59)*1.023*1.01-(D59)*0.023*0.15)*8.1*1000</f>
        <v>9312302.5999999996</v>
      </c>
      <c r="Q59" s="62">
        <f>((E59)*1.023*1.01-(E59)*0.023*0.15)*8.1*1000</f>
        <v>0</v>
      </c>
    </row>
    <row r="60" spans="1:264" s="86" customFormat="1" ht="27.95" customHeight="1" x14ac:dyDescent="0.2">
      <c r="A60" s="63"/>
      <c r="B60" s="673" t="s">
        <v>69</v>
      </c>
      <c r="C60" s="673"/>
      <c r="D60" s="32">
        <f>D59+D58</f>
        <v>2879.98</v>
      </c>
      <c r="E60" s="47"/>
      <c r="F60" s="47"/>
      <c r="G60" s="47"/>
      <c r="H60" s="57">
        <f>G60+F60+E60+D60</f>
        <v>2879.98</v>
      </c>
      <c r="I60" s="57">
        <f>H60*8.1*1000</f>
        <v>23327838</v>
      </c>
      <c r="J60" s="57">
        <f>(D60+E60)*2.3%</f>
        <v>66.239999999999995</v>
      </c>
      <c r="K60" s="57">
        <f>(D60+E60+J60)*1%</f>
        <v>29.46</v>
      </c>
      <c r="L60" s="57">
        <f>-J60*15%</f>
        <v>-9.94</v>
      </c>
      <c r="M60" s="94">
        <f>(J60+K60+L60)*8.1*1000</f>
        <v>694656</v>
      </c>
      <c r="N60" s="57">
        <f>N58+N59</f>
        <v>23327838</v>
      </c>
      <c r="O60" s="57">
        <f t="shared" ref="O60" si="15">O58+O59</f>
        <v>-694703.02</v>
      </c>
      <c r="P60" s="57">
        <f>P58+P59</f>
        <v>24022541.02</v>
      </c>
      <c r="Q60" s="57">
        <f>Q58+Q59</f>
        <v>0</v>
      </c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  <c r="IW60" s="58"/>
      <c r="IX60" s="58"/>
      <c r="IY60" s="58"/>
      <c r="IZ60" s="58"/>
      <c r="JA60" s="58"/>
      <c r="JB60" s="58"/>
      <c r="JC60" s="58"/>
      <c r="JD60" s="58"/>
    </row>
    <row r="61" spans="1:264" ht="27.95" customHeight="1" x14ac:dyDescent="0.2">
      <c r="A61" s="28"/>
      <c r="B61" s="42"/>
      <c r="C61" s="42"/>
      <c r="D61" s="24"/>
      <c r="E61" s="25"/>
      <c r="F61" s="25"/>
      <c r="G61" s="25"/>
      <c r="H61" s="26"/>
      <c r="I61" s="76">
        <f>I36+I44+I50+I60+I46+I53+I54+I55</f>
        <v>833285151</v>
      </c>
      <c r="J61" s="76">
        <f>J36+J44+J47+J50+J60+J56</f>
        <v>2480.09</v>
      </c>
      <c r="K61" s="76">
        <f t="shared" ref="K61:L61" si="16">K36+K44+K47+K50+K60+K56</f>
        <v>1103.0999999999999</v>
      </c>
      <c r="L61" s="76">
        <f t="shared" si="16"/>
        <v>-372.02</v>
      </c>
      <c r="M61" s="93">
        <f>M36+M44+M50+M60</f>
        <v>24815241</v>
      </c>
      <c r="N61" s="76">
        <f>N36+N44+N50+N60+N46+N53+N54+N55</f>
        <v>833285151</v>
      </c>
      <c r="O61" s="76"/>
      <c r="P61" s="77"/>
      <c r="Q61" s="77"/>
    </row>
    <row r="62" spans="1:264" ht="27.95" customHeight="1" x14ac:dyDescent="0.2">
      <c r="A62" s="28"/>
      <c r="B62" s="42"/>
      <c r="C62" s="42"/>
      <c r="D62" s="24"/>
      <c r="E62" s="25"/>
      <c r="F62" s="25"/>
      <c r="G62" s="25"/>
      <c r="H62" s="26"/>
      <c r="I62" s="76"/>
      <c r="J62" s="76">
        <f>H71-J61</f>
        <v>0</v>
      </c>
      <c r="K62" s="76">
        <f>H77-K61</f>
        <v>0</v>
      </c>
      <c r="L62" s="76">
        <f>(J61+K61)*8.1*1000</f>
        <v>29023839</v>
      </c>
      <c r="M62" s="93">
        <f>I61+M61</f>
        <v>858100392</v>
      </c>
      <c r="N62" s="76"/>
      <c r="O62" s="76"/>
      <c r="P62" s="77"/>
      <c r="Q62" s="77"/>
    </row>
    <row r="63" spans="1:264" ht="27.95" customHeight="1" x14ac:dyDescent="0.2">
      <c r="A63" s="28"/>
      <c r="B63" s="42"/>
      <c r="C63" s="42"/>
      <c r="D63" s="24"/>
      <c r="E63" s="25"/>
      <c r="F63" s="25"/>
      <c r="G63" s="25"/>
      <c r="H63" s="26"/>
      <c r="I63" s="76"/>
      <c r="J63" s="76"/>
      <c r="K63" s="76"/>
      <c r="L63" s="76">
        <f>L61*8.1*1000</f>
        <v>-3013362</v>
      </c>
      <c r="M63" s="93">
        <f>(J47+K47+L47+J56+K56+L56)*8.1*1000</f>
        <v>1195236</v>
      </c>
      <c r="N63" s="76"/>
      <c r="O63" s="76"/>
      <c r="P63" s="77"/>
      <c r="Q63" s="77"/>
    </row>
    <row r="64" spans="1:264" ht="12.75" customHeight="1" x14ac:dyDescent="0.2">
      <c r="A64" s="28"/>
      <c r="B64" s="673" t="s">
        <v>70</v>
      </c>
      <c r="C64" s="673"/>
      <c r="D64" s="24">
        <f>D60+D56+D50+D47+D44+D36</f>
        <v>102374.71</v>
      </c>
      <c r="E64" s="24">
        <f>E60+E56+E50+E47+E44+E36</f>
        <v>5455.27</v>
      </c>
      <c r="F64" s="24">
        <f>F60+F56+F50+F47+F44+F36</f>
        <v>567840.21</v>
      </c>
      <c r="G64" s="24">
        <f>G60+G56+G50+G47+G44+G36</f>
        <v>1460.36</v>
      </c>
      <c r="H64" s="26">
        <f>H60+H56+H50+H47+H44+H36</f>
        <v>677130.55</v>
      </c>
      <c r="I64" s="76"/>
      <c r="J64" s="84">
        <f>D60+D44+D36+D50</f>
        <v>97512.1</v>
      </c>
      <c r="K64" s="84">
        <f>E60+E44+E36+E50</f>
        <v>5362.61</v>
      </c>
      <c r="L64" s="84"/>
      <c r="M64" s="97"/>
      <c r="N64" s="84"/>
      <c r="O64" s="84"/>
    </row>
    <row r="65" spans="1:18" ht="12.75" customHeight="1" x14ac:dyDescent="0.2">
      <c r="A65" s="28"/>
      <c r="B65" s="42"/>
      <c r="C65" s="42"/>
      <c r="D65" s="24"/>
      <c r="E65" s="24"/>
      <c r="F65" s="24"/>
      <c r="G65" s="24"/>
      <c r="H65" s="26"/>
      <c r="I65" s="76"/>
      <c r="J65" s="84">
        <f>J64*8.1</f>
        <v>789848.01</v>
      </c>
      <c r="K65" s="84">
        <f>K64*8.1</f>
        <v>43437.14</v>
      </c>
      <c r="L65" s="84"/>
      <c r="M65" s="97"/>
      <c r="N65" s="84"/>
      <c r="O65" s="84"/>
    </row>
    <row r="66" spans="1:18" ht="12.75" customHeight="1" x14ac:dyDescent="0.2">
      <c r="A66" s="686" t="s">
        <v>71</v>
      </c>
      <c r="B66" s="687"/>
      <c r="C66" s="687"/>
      <c r="D66" s="687"/>
      <c r="E66" s="687"/>
      <c r="F66" s="687"/>
      <c r="G66" s="687"/>
      <c r="H66" s="688"/>
      <c r="I66" s="75"/>
      <c r="J66" s="85">
        <f>D31+D32+D38+D39+D40+D41+D42+D43+D49+D58+D59</f>
        <v>97512.1</v>
      </c>
      <c r="K66" s="85">
        <f>E31+E32+E38+E39+E40+E41+E42+E43+E49+E58+E59</f>
        <v>5362.61</v>
      </c>
      <c r="L66" s="85"/>
      <c r="M66" s="98"/>
      <c r="N66" s="85"/>
      <c r="O66" s="85"/>
    </row>
    <row r="67" spans="1:18" ht="12.75" customHeight="1" x14ac:dyDescent="0.2">
      <c r="A67" s="19"/>
      <c r="B67" s="20"/>
      <c r="C67" s="20"/>
      <c r="D67" s="20"/>
      <c r="E67" s="20"/>
      <c r="F67" s="20"/>
      <c r="G67" s="20"/>
      <c r="H67" s="21"/>
      <c r="I67" s="75"/>
      <c r="J67" s="85">
        <f>J66+D71+D77</f>
        <v>100914.01</v>
      </c>
      <c r="K67" s="85">
        <f>K66+E71+E77</f>
        <v>5543.89</v>
      </c>
      <c r="L67" s="85"/>
      <c r="M67" s="98"/>
      <c r="N67" s="85"/>
      <c r="O67" s="85"/>
    </row>
    <row r="68" spans="1:18" ht="12.75" customHeight="1" x14ac:dyDescent="0.2">
      <c r="A68" s="19"/>
      <c r="B68" s="20"/>
      <c r="C68" s="20"/>
      <c r="D68" s="20"/>
      <c r="E68" s="20"/>
      <c r="F68" s="20"/>
      <c r="G68" s="20"/>
      <c r="H68" s="21"/>
      <c r="I68" s="75"/>
      <c r="J68" s="85">
        <f>J67*1.02</f>
        <v>102932.29</v>
      </c>
      <c r="K68" s="85">
        <f>K67*1.02</f>
        <v>5654.77</v>
      </c>
      <c r="L68" s="85"/>
      <c r="M68" s="98"/>
      <c r="N68" s="85"/>
      <c r="O68" s="85"/>
    </row>
    <row r="69" spans="1:18" ht="12.75" customHeight="1" x14ac:dyDescent="0.2">
      <c r="A69" s="19"/>
      <c r="B69" s="20"/>
      <c r="C69" s="20"/>
      <c r="D69" s="20"/>
      <c r="E69" s="20"/>
      <c r="F69" s="20"/>
      <c r="G69" s="20"/>
      <c r="H69" s="21"/>
      <c r="I69" s="75"/>
      <c r="J69" s="85">
        <f>J67*8.1</f>
        <v>817403.48</v>
      </c>
      <c r="K69" s="85">
        <f>K67*8.1</f>
        <v>44905.51</v>
      </c>
      <c r="L69" s="85"/>
      <c r="M69" s="98"/>
      <c r="N69" s="85"/>
      <c r="O69" s="85"/>
    </row>
    <row r="70" spans="1:18" ht="12.75" customHeight="1" x14ac:dyDescent="0.2">
      <c r="A70" s="19"/>
      <c r="B70" s="20"/>
      <c r="C70" s="20"/>
      <c r="D70" s="20"/>
      <c r="E70" s="20"/>
      <c r="F70" s="20"/>
      <c r="G70" s="20"/>
      <c r="H70" s="21"/>
      <c r="I70" s="75"/>
      <c r="J70" s="85"/>
      <c r="K70" s="85"/>
      <c r="L70" s="85"/>
      <c r="M70" s="98"/>
      <c r="N70" s="85"/>
      <c r="O70" s="85"/>
    </row>
    <row r="71" spans="1:18" ht="41.25" customHeight="1" x14ac:dyDescent="0.2">
      <c r="A71" s="22">
        <v>18</v>
      </c>
      <c r="B71" s="23" t="s">
        <v>72</v>
      </c>
      <c r="C71" s="23" t="s">
        <v>73</v>
      </c>
      <c r="D71" s="24">
        <f>ROUND(D64*2.3%,2)</f>
        <v>2354.62</v>
      </c>
      <c r="E71" s="24">
        <f>ROUND(E64*2.3%,2)</f>
        <v>125.47</v>
      </c>
      <c r="F71" s="25"/>
      <c r="G71" s="25"/>
      <c r="H71" s="26">
        <f>D71+E71</f>
        <v>2480.09</v>
      </c>
      <c r="I71" s="76"/>
      <c r="J71" s="84">
        <f>J66*8.1</f>
        <v>789848.01</v>
      </c>
      <c r="K71" s="84">
        <f>K66*8.1</f>
        <v>43437.14</v>
      </c>
      <c r="L71" s="84"/>
      <c r="M71" s="97"/>
      <c r="N71" s="84"/>
      <c r="O71" s="84"/>
      <c r="P71" s="62">
        <f>P36+P44+P50+P60</f>
        <v>813369683.74000001</v>
      </c>
      <c r="Q71" s="62">
        <f>Q36+Q44+Q50+Q60</f>
        <v>44730699.060000002</v>
      </c>
      <c r="R71" s="62">
        <f>P71+Q71</f>
        <v>858100382.79999995</v>
      </c>
    </row>
    <row r="72" spans="1:18" hidden="1" x14ac:dyDescent="0.2">
      <c r="A72" s="22"/>
      <c r="B72" s="23"/>
      <c r="C72" s="27"/>
      <c r="D72" s="24">
        <v>0</v>
      </c>
      <c r="E72" s="25"/>
      <c r="F72" s="25"/>
      <c r="G72" s="25"/>
      <c r="H72" s="26">
        <v>0</v>
      </c>
      <c r="I72" s="76"/>
      <c r="J72" s="76"/>
      <c r="K72" s="76"/>
      <c r="L72" s="76"/>
      <c r="M72" s="93"/>
      <c r="N72" s="76"/>
      <c r="O72" s="76"/>
    </row>
    <row r="73" spans="1:18" ht="12.75" customHeight="1" x14ac:dyDescent="0.2">
      <c r="A73" s="28"/>
      <c r="B73" s="673" t="s">
        <v>74</v>
      </c>
      <c r="C73" s="673"/>
      <c r="D73" s="24">
        <f>D72+D71</f>
        <v>2354.62</v>
      </c>
      <c r="E73" s="24">
        <f t="shared" ref="E73:H73" si="17">E72+E71</f>
        <v>125.47</v>
      </c>
      <c r="F73" s="24">
        <f t="shared" si="17"/>
        <v>0</v>
      </c>
      <c r="G73" s="24">
        <f t="shared" si="17"/>
        <v>0</v>
      </c>
      <c r="H73" s="26">
        <f t="shared" si="17"/>
        <v>2480.09</v>
      </c>
      <c r="I73" s="76"/>
      <c r="J73" s="76">
        <f>P73-D71-D77</f>
        <v>99530.38</v>
      </c>
      <c r="K73" s="76">
        <f>Q73-E71-E77</f>
        <v>5473.49</v>
      </c>
      <c r="L73" s="76"/>
      <c r="M73" s="93"/>
      <c r="N73" s="76"/>
      <c r="O73" s="76"/>
      <c r="P73" s="62">
        <f>D114</f>
        <v>102932.29</v>
      </c>
      <c r="Q73" s="62">
        <f>E114</f>
        <v>5654.77</v>
      </c>
    </row>
    <row r="74" spans="1:18" ht="12.75" customHeight="1" x14ac:dyDescent="0.2">
      <c r="A74" s="28"/>
      <c r="B74" s="706" t="s">
        <v>75</v>
      </c>
      <c r="C74" s="707"/>
      <c r="D74" s="24">
        <v>353.19</v>
      </c>
      <c r="E74" s="24">
        <v>18.82</v>
      </c>
      <c r="F74" s="24"/>
      <c r="G74" s="24"/>
      <c r="H74" s="26">
        <v>372.01</v>
      </c>
      <c r="I74" s="76"/>
      <c r="J74" s="76">
        <f t="shared" ref="J74:K74" si="18">J73/1.02*8.1*1000</f>
        <v>790388311.75999999</v>
      </c>
      <c r="K74" s="76">
        <f t="shared" si="18"/>
        <v>43465950</v>
      </c>
      <c r="L74" s="76"/>
      <c r="M74" s="93"/>
      <c r="N74" s="76"/>
      <c r="O74" s="76"/>
      <c r="P74" s="62">
        <f>P73/1.02*8.1*1000</f>
        <v>817403479.40999997</v>
      </c>
      <c r="Q74" s="62">
        <f>Q73/1.02*8.1*1000</f>
        <v>44905526.469999999</v>
      </c>
    </row>
    <row r="75" spans="1:18" ht="12.75" customHeight="1" x14ac:dyDescent="0.2">
      <c r="A75" s="28"/>
      <c r="B75" s="673" t="s">
        <v>76</v>
      </c>
      <c r="C75" s="673"/>
      <c r="D75" s="24">
        <f>D73+D64</f>
        <v>104729.33</v>
      </c>
      <c r="E75" s="24">
        <f t="shared" ref="E75:H75" si="19">E73+E64</f>
        <v>5580.74</v>
      </c>
      <c r="F75" s="24">
        <f t="shared" si="19"/>
        <v>567840.21</v>
      </c>
      <c r="G75" s="24">
        <f t="shared" si="19"/>
        <v>1460.36</v>
      </c>
      <c r="H75" s="26">
        <f t="shared" si="19"/>
        <v>679610.64</v>
      </c>
      <c r="I75" s="76"/>
      <c r="J75" s="76"/>
      <c r="K75" s="76"/>
      <c r="L75" s="76"/>
      <c r="M75" s="93"/>
      <c r="N75" s="76"/>
      <c r="O75" s="76"/>
      <c r="P75" s="82">
        <f>P71-P74</f>
        <v>-4033795.67</v>
      </c>
      <c r="Q75" s="82">
        <f>Q71-Q74</f>
        <v>-174827.41</v>
      </c>
    </row>
    <row r="76" spans="1:18" ht="12.75" customHeight="1" x14ac:dyDescent="0.2">
      <c r="A76" s="686" t="s">
        <v>77</v>
      </c>
      <c r="B76" s="687"/>
      <c r="C76" s="687"/>
      <c r="D76" s="687"/>
      <c r="E76" s="687"/>
      <c r="F76" s="687"/>
      <c r="G76" s="687"/>
      <c r="H76" s="688"/>
      <c r="I76" s="75"/>
      <c r="J76" s="75"/>
      <c r="K76" s="75"/>
      <c r="L76" s="75"/>
      <c r="M76" s="92"/>
      <c r="N76" s="75"/>
      <c r="O76" s="75"/>
    </row>
    <row r="77" spans="1:18" ht="25.5" x14ac:dyDescent="0.2">
      <c r="A77" s="22">
        <v>19</v>
      </c>
      <c r="B77" s="23" t="s">
        <v>78</v>
      </c>
      <c r="C77" s="23" t="s">
        <v>79</v>
      </c>
      <c r="D77" s="24">
        <f>ROUND(D75*1%,2)</f>
        <v>1047.29</v>
      </c>
      <c r="E77" s="24">
        <f>ROUND(E75*1%,2)</f>
        <v>55.81</v>
      </c>
      <c r="F77" s="25"/>
      <c r="G77" s="25"/>
      <c r="H77" s="26">
        <f>D77+E77+F77+G77</f>
        <v>1103.0999999999999</v>
      </c>
      <c r="I77" s="76"/>
      <c r="J77" s="76"/>
      <c r="K77" s="76"/>
      <c r="L77" s="76"/>
      <c r="M77" s="93"/>
      <c r="N77" s="76"/>
      <c r="O77" s="76"/>
      <c r="P77" s="62">
        <f>D85/1.02*8.1*1000</f>
        <v>6559411.7599999998</v>
      </c>
    </row>
    <row r="78" spans="1:18" ht="25.5" x14ac:dyDescent="0.2">
      <c r="A78" s="22">
        <v>20</v>
      </c>
      <c r="B78" s="23" t="s">
        <v>80</v>
      </c>
      <c r="C78" s="23" t="s">
        <v>81</v>
      </c>
      <c r="D78" s="25"/>
      <c r="E78" s="25"/>
      <c r="F78" s="25"/>
      <c r="G78" s="24">
        <v>464.95</v>
      </c>
      <c r="H78" s="26">
        <f t="shared" ref="H78:H91" si="20">D78+E78+F78+G78</f>
        <v>464.95</v>
      </c>
      <c r="I78" s="76"/>
      <c r="J78" s="76"/>
      <c r="K78" s="76"/>
      <c r="L78" s="76"/>
      <c r="M78" s="93"/>
      <c r="N78" s="76"/>
      <c r="O78" s="76"/>
      <c r="P78" s="62">
        <f>D88/1.02*8.1*1000</f>
        <v>4453808.82</v>
      </c>
    </row>
    <row r="79" spans="1:18" ht="25.5" x14ac:dyDescent="0.2">
      <c r="A79" s="22">
        <v>21</v>
      </c>
      <c r="B79" s="23" t="s">
        <v>82</v>
      </c>
      <c r="C79" s="23" t="s">
        <v>83</v>
      </c>
      <c r="D79" s="25"/>
      <c r="E79" s="25"/>
      <c r="F79" s="25"/>
      <c r="G79" s="24">
        <v>335.2</v>
      </c>
      <c r="H79" s="26">
        <f t="shared" si="20"/>
        <v>335.2</v>
      </c>
      <c r="I79" s="76"/>
      <c r="J79" s="76"/>
      <c r="K79" s="76"/>
      <c r="L79" s="76"/>
      <c r="M79" s="93"/>
      <c r="N79" s="76"/>
      <c r="O79" s="76"/>
    </row>
    <row r="80" spans="1:18" hidden="1" x14ac:dyDescent="0.2">
      <c r="A80" s="22">
        <v>22</v>
      </c>
      <c r="B80" s="23"/>
      <c r="C80" s="23"/>
      <c r="D80" s="25"/>
      <c r="E80" s="25"/>
      <c r="F80" s="25"/>
      <c r="G80" s="24">
        <v>0</v>
      </c>
      <c r="H80" s="26">
        <f t="shared" si="20"/>
        <v>0</v>
      </c>
      <c r="I80" s="76"/>
      <c r="J80" s="76"/>
      <c r="K80" s="76"/>
      <c r="L80" s="76"/>
      <c r="M80" s="93"/>
      <c r="N80" s="76"/>
      <c r="O80" s="76"/>
    </row>
    <row r="81" spans="1:15" hidden="1" x14ac:dyDescent="0.2">
      <c r="A81" s="22">
        <v>23</v>
      </c>
      <c r="B81" s="23"/>
      <c r="C81" s="27"/>
      <c r="D81" s="25"/>
      <c r="E81" s="25"/>
      <c r="F81" s="25"/>
      <c r="G81" s="24"/>
      <c r="H81" s="26"/>
      <c r="I81" s="76"/>
      <c r="J81" s="76"/>
      <c r="K81" s="76"/>
      <c r="L81" s="76"/>
      <c r="M81" s="93"/>
      <c r="N81" s="76"/>
      <c r="O81" s="76"/>
    </row>
    <row r="82" spans="1:15" ht="25.5" x14ac:dyDescent="0.2">
      <c r="A82" s="22">
        <v>22</v>
      </c>
      <c r="B82" s="23" t="s">
        <v>84</v>
      </c>
      <c r="C82" s="23" t="s">
        <v>85</v>
      </c>
      <c r="D82" s="25"/>
      <c r="E82" s="25"/>
      <c r="F82" s="25"/>
      <c r="G82" s="24">
        <f>ROUND((29.43+35.23)/10.79,2)</f>
        <v>5.99</v>
      </c>
      <c r="H82" s="26">
        <f t="shared" si="20"/>
        <v>5.99</v>
      </c>
      <c r="I82" s="76"/>
      <c r="J82" s="76"/>
      <c r="K82" s="76"/>
      <c r="L82" s="76"/>
      <c r="M82" s="93"/>
      <c r="N82" s="76"/>
      <c r="O82" s="76"/>
    </row>
    <row r="83" spans="1:15" x14ac:dyDescent="0.2">
      <c r="A83" s="22">
        <v>23</v>
      </c>
      <c r="B83" s="23" t="s">
        <v>86</v>
      </c>
      <c r="C83" s="23" t="s">
        <v>87</v>
      </c>
      <c r="D83" s="25"/>
      <c r="E83" s="25"/>
      <c r="F83" s="25"/>
      <c r="G83" s="24">
        <v>53.69</v>
      </c>
      <c r="H83" s="26">
        <f t="shared" si="20"/>
        <v>53.69</v>
      </c>
      <c r="I83" s="76"/>
      <c r="J83" s="76"/>
      <c r="K83" s="76"/>
      <c r="L83" s="76"/>
      <c r="M83" s="93"/>
      <c r="N83" s="76"/>
      <c r="O83" s="76"/>
    </row>
    <row r="84" spans="1:15" x14ac:dyDescent="0.2">
      <c r="A84" s="22">
        <v>24</v>
      </c>
      <c r="B84" s="23" t="s">
        <v>88</v>
      </c>
      <c r="C84" s="23" t="s">
        <v>89</v>
      </c>
      <c r="D84" s="25"/>
      <c r="E84" s="25"/>
      <c r="F84" s="25"/>
      <c r="G84" s="24">
        <v>21220.01</v>
      </c>
      <c r="H84" s="26">
        <f t="shared" si="20"/>
        <v>21220.01</v>
      </c>
      <c r="I84" s="76"/>
      <c r="J84" s="76"/>
      <c r="K84" s="76"/>
      <c r="L84" s="76"/>
      <c r="M84" s="93"/>
      <c r="N84" s="76"/>
      <c r="O84" s="76"/>
    </row>
    <row r="85" spans="1:15" ht="25.5" x14ac:dyDescent="0.2">
      <c r="A85" s="22">
        <v>25</v>
      </c>
      <c r="B85" s="23" t="s">
        <v>90</v>
      </c>
      <c r="C85" s="23" t="s">
        <v>91</v>
      </c>
      <c r="D85" s="25">
        <v>826</v>
      </c>
      <c r="E85" s="25"/>
      <c r="F85" s="25"/>
      <c r="G85" s="24"/>
      <c r="H85" s="26">
        <f t="shared" si="20"/>
        <v>826</v>
      </c>
      <c r="I85" s="76"/>
      <c r="J85" s="76"/>
      <c r="K85" s="76"/>
      <c r="L85" s="76"/>
      <c r="M85" s="93"/>
      <c r="N85" s="76"/>
      <c r="O85" s="76"/>
    </row>
    <row r="86" spans="1:15" ht="25.5" x14ac:dyDescent="0.2">
      <c r="A86" s="22">
        <v>26</v>
      </c>
      <c r="B86" s="23" t="s">
        <v>92</v>
      </c>
      <c r="C86" s="23" t="s">
        <v>93</v>
      </c>
      <c r="D86" s="25"/>
      <c r="E86" s="25"/>
      <c r="F86" s="25"/>
      <c r="G86" s="24">
        <f>ROUND(66107.75/1.2/10.79,2)</f>
        <v>5105.63</v>
      </c>
      <c r="H86" s="26">
        <f t="shared" si="20"/>
        <v>5105.63</v>
      </c>
      <c r="I86" s="76"/>
      <c r="J86" s="76"/>
      <c r="K86" s="76"/>
      <c r="L86" s="76"/>
      <c r="M86" s="93"/>
      <c r="N86" s="76"/>
      <c r="O86" s="76"/>
    </row>
    <row r="87" spans="1:15" hidden="1" x14ac:dyDescent="0.2">
      <c r="A87" s="22">
        <v>27</v>
      </c>
      <c r="B87" s="23"/>
      <c r="C87" s="27"/>
      <c r="D87" s="25"/>
      <c r="E87" s="25"/>
      <c r="F87" s="25"/>
      <c r="G87" s="24"/>
      <c r="H87" s="26"/>
      <c r="I87" s="76"/>
      <c r="J87" s="76"/>
      <c r="K87" s="76"/>
      <c r="L87" s="76"/>
      <c r="M87" s="93"/>
      <c r="N87" s="76"/>
      <c r="O87" s="76"/>
    </row>
    <row r="88" spans="1:15" x14ac:dyDescent="0.2">
      <c r="A88" s="22">
        <v>27</v>
      </c>
      <c r="B88" s="23" t="s">
        <v>94</v>
      </c>
      <c r="C88" s="23" t="s">
        <v>95</v>
      </c>
      <c r="D88" s="24">
        <v>560.85</v>
      </c>
      <c r="E88" s="25"/>
      <c r="F88" s="25"/>
      <c r="G88" s="25"/>
      <c r="H88" s="26">
        <f t="shared" si="20"/>
        <v>560.85</v>
      </c>
      <c r="I88" s="76"/>
      <c r="J88" s="76"/>
      <c r="K88" s="76"/>
      <c r="L88" s="76"/>
      <c r="M88" s="93"/>
      <c r="N88" s="76"/>
      <c r="O88" s="76"/>
    </row>
    <row r="89" spans="1:15" ht="25.5" x14ac:dyDescent="0.2">
      <c r="A89" s="22">
        <v>28</v>
      </c>
      <c r="B89" s="23" t="s">
        <v>96</v>
      </c>
      <c r="C89" s="23" t="s">
        <v>97</v>
      </c>
      <c r="D89" s="25"/>
      <c r="E89" s="25"/>
      <c r="F89" s="25"/>
      <c r="G89" s="24">
        <f>ROUND(146.49/10.79,2)</f>
        <v>13.58</v>
      </c>
      <c r="H89" s="26">
        <f t="shared" si="20"/>
        <v>13.58</v>
      </c>
      <c r="I89" s="76"/>
      <c r="J89" s="76"/>
      <c r="K89" s="76"/>
      <c r="L89" s="76"/>
      <c r="M89" s="93"/>
      <c r="N89" s="76"/>
      <c r="O89" s="76"/>
    </row>
    <row r="90" spans="1:15" hidden="1" x14ac:dyDescent="0.2">
      <c r="A90" s="22">
        <v>30</v>
      </c>
      <c r="B90" s="23"/>
      <c r="C90" s="23"/>
      <c r="D90" s="25"/>
      <c r="E90" s="25"/>
      <c r="F90" s="25"/>
      <c r="G90" s="24"/>
      <c r="H90" s="26"/>
      <c r="I90" s="76"/>
      <c r="J90" s="76"/>
      <c r="K90" s="76"/>
      <c r="L90" s="76"/>
      <c r="M90" s="93"/>
      <c r="N90" s="76"/>
      <c r="O90" s="76"/>
    </row>
    <row r="91" spans="1:15" ht="25.5" x14ac:dyDescent="0.2">
      <c r="A91" s="22">
        <v>29</v>
      </c>
      <c r="B91" s="23" t="s">
        <v>98</v>
      </c>
      <c r="C91" s="23" t="s">
        <v>99</v>
      </c>
      <c r="D91" s="25"/>
      <c r="E91" s="25"/>
      <c r="F91" s="25"/>
      <c r="G91" s="24">
        <f>ROUND(5743.64/4.35/1.266,2)</f>
        <v>1042.95</v>
      </c>
      <c r="H91" s="26">
        <f t="shared" si="20"/>
        <v>1042.95</v>
      </c>
      <c r="I91" s="76"/>
      <c r="J91" s="76"/>
      <c r="K91" s="76"/>
      <c r="L91" s="76"/>
      <c r="M91" s="93"/>
      <c r="N91" s="76"/>
      <c r="O91" s="76"/>
    </row>
    <row r="92" spans="1:15" ht="12.75" customHeight="1" x14ac:dyDescent="0.2">
      <c r="A92" s="28"/>
      <c r="B92" s="673" t="s">
        <v>100</v>
      </c>
      <c r="C92" s="673"/>
      <c r="D92" s="24">
        <f>SUM(D77:D91)</f>
        <v>2434.14</v>
      </c>
      <c r="E92" s="24">
        <f t="shared" ref="E92:G92" si="21">SUM(E77:E91)</f>
        <v>55.81</v>
      </c>
      <c r="F92" s="24"/>
      <c r="G92" s="24">
        <f t="shared" si="21"/>
        <v>28242</v>
      </c>
      <c r="H92" s="26">
        <f>D92+E92+F92+G92</f>
        <v>30731.95</v>
      </c>
      <c r="I92" s="76"/>
      <c r="J92" s="76"/>
      <c r="K92" s="76"/>
      <c r="L92" s="76"/>
      <c r="M92" s="93"/>
      <c r="N92" s="76"/>
      <c r="O92" s="76"/>
    </row>
    <row r="93" spans="1:15" ht="12.75" customHeight="1" x14ac:dyDescent="0.2">
      <c r="A93" s="28"/>
      <c r="B93" s="673" t="s">
        <v>101</v>
      </c>
      <c r="C93" s="673"/>
      <c r="D93" s="24">
        <f>D92+D75</f>
        <v>107163.47</v>
      </c>
      <c r="E93" s="24">
        <f>E92+E75</f>
        <v>5636.55</v>
      </c>
      <c r="F93" s="24">
        <f>F92+F75</f>
        <v>567840.21</v>
      </c>
      <c r="G93" s="24">
        <f>G92+G75</f>
        <v>29702.36</v>
      </c>
      <c r="H93" s="26">
        <f>H92+H75</f>
        <v>710342.59</v>
      </c>
      <c r="I93" s="76"/>
      <c r="J93" s="76"/>
      <c r="K93" s="76"/>
      <c r="L93" s="76"/>
      <c r="M93" s="93"/>
      <c r="N93" s="76"/>
      <c r="O93" s="76"/>
    </row>
    <row r="94" spans="1:15" ht="12.75" customHeight="1" x14ac:dyDescent="0.2">
      <c r="A94" s="686" t="s">
        <v>102</v>
      </c>
      <c r="B94" s="687"/>
      <c r="C94" s="687"/>
      <c r="D94" s="687"/>
      <c r="E94" s="687"/>
      <c r="F94" s="687"/>
      <c r="G94" s="687"/>
      <c r="H94" s="688"/>
      <c r="I94" s="75"/>
      <c r="J94" s="75"/>
      <c r="K94" s="75"/>
      <c r="L94" s="75"/>
      <c r="M94" s="92"/>
      <c r="N94" s="75"/>
      <c r="O94" s="75"/>
    </row>
    <row r="95" spans="1:15" ht="38.25" x14ac:dyDescent="0.2">
      <c r="A95" s="22">
        <v>30</v>
      </c>
      <c r="B95" s="23" t="s">
        <v>103</v>
      </c>
      <c r="C95" s="23" t="s">
        <v>104</v>
      </c>
      <c r="D95" s="25"/>
      <c r="E95" s="25"/>
      <c r="F95" s="25"/>
      <c r="G95" s="24">
        <f>ROUND((H93+H103)*0.0113,2)</f>
        <v>8361.5499999999993</v>
      </c>
      <c r="H95" s="26">
        <f>G95</f>
        <v>8361.5499999999993</v>
      </c>
      <c r="I95" s="76"/>
      <c r="J95" s="76"/>
      <c r="K95" s="76"/>
      <c r="L95" s="76"/>
      <c r="M95" s="93"/>
      <c r="N95" s="76"/>
      <c r="O95" s="76"/>
    </row>
    <row r="96" spans="1:15" ht="27.95" customHeight="1" x14ac:dyDescent="0.2">
      <c r="A96" s="28"/>
      <c r="B96" s="673" t="s">
        <v>105</v>
      </c>
      <c r="C96" s="673"/>
      <c r="D96" s="25"/>
      <c r="E96" s="25"/>
      <c r="F96" s="25"/>
      <c r="G96" s="24">
        <f>G95</f>
        <v>8361.5499999999993</v>
      </c>
      <c r="H96" s="26">
        <f>H95</f>
        <v>8361.5499999999993</v>
      </c>
      <c r="I96" s="76"/>
      <c r="J96" s="76"/>
      <c r="K96" s="76"/>
      <c r="L96" s="76"/>
      <c r="M96" s="93"/>
      <c r="N96" s="76"/>
      <c r="O96" s="76"/>
    </row>
    <row r="97" spans="1:15" ht="12.75" customHeight="1" x14ac:dyDescent="0.2">
      <c r="A97" s="686" t="s">
        <v>106</v>
      </c>
      <c r="B97" s="687"/>
      <c r="C97" s="687"/>
      <c r="D97" s="687"/>
      <c r="E97" s="687"/>
      <c r="F97" s="687"/>
      <c r="G97" s="687"/>
      <c r="H97" s="688"/>
      <c r="I97" s="75"/>
      <c r="J97" s="75"/>
      <c r="K97" s="75"/>
      <c r="L97" s="75"/>
      <c r="M97" s="92"/>
      <c r="N97" s="75"/>
      <c r="O97" s="75"/>
    </row>
    <row r="98" spans="1:15" x14ac:dyDescent="0.2">
      <c r="A98" s="22">
        <v>31</v>
      </c>
      <c r="B98" s="23" t="s">
        <v>107</v>
      </c>
      <c r="C98" s="23" t="s">
        <v>108</v>
      </c>
      <c r="D98" s="25"/>
      <c r="E98" s="25"/>
      <c r="F98" s="25"/>
      <c r="G98" s="24">
        <v>6294.14</v>
      </c>
      <c r="H98" s="26">
        <f>G98</f>
        <v>6294.14</v>
      </c>
      <c r="I98" s="76"/>
      <c r="J98" s="76"/>
      <c r="K98" s="76"/>
      <c r="L98" s="76"/>
      <c r="M98" s="93"/>
      <c r="N98" s="76"/>
      <c r="O98" s="76"/>
    </row>
    <row r="99" spans="1:15" x14ac:dyDescent="0.2">
      <c r="A99" s="22">
        <v>32</v>
      </c>
      <c r="B99" s="23" t="s">
        <v>107</v>
      </c>
      <c r="C99" s="23" t="s">
        <v>109</v>
      </c>
      <c r="D99" s="25"/>
      <c r="E99" s="25"/>
      <c r="F99" s="25"/>
      <c r="G99" s="24">
        <v>10028.32</v>
      </c>
      <c r="H99" s="26">
        <f t="shared" ref="H99:H102" si="22">G99</f>
        <v>10028.32</v>
      </c>
      <c r="I99" s="76"/>
      <c r="J99" s="76"/>
      <c r="K99" s="76"/>
      <c r="L99" s="76"/>
      <c r="M99" s="93"/>
      <c r="N99" s="76"/>
      <c r="O99" s="76"/>
    </row>
    <row r="100" spans="1:15" ht="20.25" customHeight="1" x14ac:dyDescent="0.2">
      <c r="A100" s="22">
        <v>33</v>
      </c>
      <c r="B100" s="23" t="s">
        <v>107</v>
      </c>
      <c r="C100" s="23" t="s">
        <v>110</v>
      </c>
      <c r="D100" s="25"/>
      <c r="E100" s="25"/>
      <c r="F100" s="25"/>
      <c r="G100" s="24">
        <v>12526.27</v>
      </c>
      <c r="H100" s="26">
        <f t="shared" si="22"/>
        <v>12526.27</v>
      </c>
      <c r="I100" s="76"/>
      <c r="J100" s="76"/>
      <c r="K100" s="76"/>
      <c r="L100" s="76"/>
      <c r="M100" s="93"/>
      <c r="N100" s="76"/>
      <c r="O100" s="76"/>
    </row>
    <row r="101" spans="1:15" x14ac:dyDescent="0.2">
      <c r="A101" s="22">
        <v>34</v>
      </c>
      <c r="B101" s="23" t="s">
        <v>111</v>
      </c>
      <c r="C101" s="23" t="s">
        <v>112</v>
      </c>
      <c r="D101" s="25"/>
      <c r="E101" s="25"/>
      <c r="F101" s="25"/>
      <c r="G101" s="24">
        <v>674.12</v>
      </c>
      <c r="H101" s="26">
        <f t="shared" si="22"/>
        <v>674.12</v>
      </c>
      <c r="I101" s="76"/>
      <c r="J101" s="76"/>
      <c r="K101" s="76"/>
      <c r="L101" s="76"/>
      <c r="M101" s="93"/>
      <c r="N101" s="76"/>
      <c r="O101" s="76"/>
    </row>
    <row r="102" spans="1:15" ht="76.5" x14ac:dyDescent="0.2">
      <c r="A102" s="22">
        <v>35</v>
      </c>
      <c r="B102" s="23" t="s">
        <v>113</v>
      </c>
      <c r="C102" s="23" t="s">
        <v>114</v>
      </c>
      <c r="D102" s="25"/>
      <c r="E102" s="25"/>
      <c r="F102" s="25"/>
      <c r="G102" s="24">
        <f>ROUND((G98+G99)*0.58%,2)</f>
        <v>94.67</v>
      </c>
      <c r="H102" s="26">
        <f t="shared" si="22"/>
        <v>94.67</v>
      </c>
      <c r="I102" s="76"/>
      <c r="J102" s="76"/>
      <c r="K102" s="76"/>
      <c r="L102" s="76"/>
      <c r="M102" s="93"/>
      <c r="N102" s="76"/>
      <c r="O102" s="76"/>
    </row>
    <row r="103" spans="1:15" ht="140.1" customHeight="1" x14ac:dyDescent="0.2">
      <c r="A103" s="28"/>
      <c r="B103" s="673" t="s">
        <v>115</v>
      </c>
      <c r="C103" s="673"/>
      <c r="D103" s="25"/>
      <c r="E103" s="25"/>
      <c r="F103" s="25"/>
      <c r="G103" s="24">
        <f>SUM(G98:G102)</f>
        <v>29617.52</v>
      </c>
      <c r="H103" s="26">
        <f>G103</f>
        <v>29617.52</v>
      </c>
      <c r="I103" s="76"/>
      <c r="J103" s="76"/>
      <c r="K103" s="76"/>
      <c r="L103" s="76"/>
      <c r="M103" s="93"/>
      <c r="N103" s="76"/>
      <c r="O103" s="76"/>
    </row>
    <row r="104" spans="1:15" ht="12.75" customHeight="1" x14ac:dyDescent="0.2">
      <c r="A104" s="28"/>
      <c r="B104" s="673" t="s">
        <v>116</v>
      </c>
      <c r="C104" s="673"/>
      <c r="D104" s="24">
        <f>D103+D96+D93</f>
        <v>107163.47</v>
      </c>
      <c r="E104" s="24">
        <f>E103+E96+E93</f>
        <v>5636.55</v>
      </c>
      <c r="F104" s="24">
        <f>F103+F96+F93</f>
        <v>567840.21</v>
      </c>
      <c r="G104" s="24">
        <f>G103+G96+G93</f>
        <v>67681.429999999993</v>
      </c>
      <c r="H104" s="26">
        <f>H103+H96+H93</f>
        <v>748321.66</v>
      </c>
      <c r="I104" s="76"/>
      <c r="J104" s="76"/>
      <c r="K104" s="76"/>
      <c r="L104" s="76"/>
      <c r="M104" s="93"/>
      <c r="N104" s="76"/>
      <c r="O104" s="76"/>
    </row>
    <row r="105" spans="1:15" ht="12.75" customHeight="1" x14ac:dyDescent="0.2">
      <c r="A105" s="686" t="s">
        <v>117</v>
      </c>
      <c r="B105" s="687"/>
      <c r="C105" s="687"/>
      <c r="D105" s="687"/>
      <c r="E105" s="687"/>
      <c r="F105" s="687"/>
      <c r="G105" s="687"/>
      <c r="H105" s="688"/>
      <c r="I105" s="75"/>
      <c r="J105" s="75"/>
      <c r="K105" s="75"/>
      <c r="L105" s="75"/>
      <c r="M105" s="92"/>
      <c r="N105" s="75"/>
      <c r="O105" s="75"/>
    </row>
    <row r="106" spans="1:15" ht="25.5" x14ac:dyDescent="0.2">
      <c r="A106" s="22">
        <v>36</v>
      </c>
      <c r="B106" s="23" t="s">
        <v>118</v>
      </c>
      <c r="C106" s="23" t="s">
        <v>119</v>
      </c>
      <c r="D106" s="24">
        <f>ROUND(D104*0.02,2)</f>
        <v>2143.27</v>
      </c>
      <c r="E106" s="24">
        <f>ROUND(E104*0.02,2)</f>
        <v>112.73</v>
      </c>
      <c r="F106" s="24">
        <f>ROUND(F104*0.02,2)</f>
        <v>11356.8</v>
      </c>
      <c r="G106" s="24">
        <f>ROUND(G104*0.02,2)</f>
        <v>1353.63</v>
      </c>
      <c r="H106" s="26">
        <f>D106+E106+F106+G106</f>
        <v>14966.43</v>
      </c>
      <c r="I106" s="76"/>
      <c r="J106" s="76"/>
      <c r="K106" s="76"/>
      <c r="L106" s="76"/>
      <c r="M106" s="93"/>
      <c r="N106" s="76"/>
      <c r="O106" s="76"/>
    </row>
    <row r="107" spans="1:15" ht="12.75" customHeight="1" x14ac:dyDescent="0.2">
      <c r="A107" s="28"/>
      <c r="B107" s="673" t="s">
        <v>120</v>
      </c>
      <c r="C107" s="673"/>
      <c r="D107" s="24">
        <f>D106</f>
        <v>2143.27</v>
      </c>
      <c r="E107" s="24">
        <f>E106</f>
        <v>112.73</v>
      </c>
      <c r="F107" s="24">
        <f>F106</f>
        <v>11356.8</v>
      </c>
      <c r="G107" s="24">
        <f>G106</f>
        <v>1353.63</v>
      </c>
      <c r="H107" s="26">
        <f>H106</f>
        <v>14966.43</v>
      </c>
      <c r="I107" s="76"/>
      <c r="J107" s="76"/>
      <c r="K107" s="76"/>
      <c r="L107" s="76"/>
      <c r="M107" s="93"/>
      <c r="N107" s="76"/>
      <c r="O107" s="76"/>
    </row>
    <row r="108" spans="1:15" ht="12.75" customHeight="1" x14ac:dyDescent="0.2">
      <c r="A108" s="28"/>
      <c r="B108" s="673" t="s">
        <v>121</v>
      </c>
      <c r="C108" s="673"/>
      <c r="D108" s="24">
        <f>D107+D104</f>
        <v>109306.74</v>
      </c>
      <c r="E108" s="24">
        <f>E107+E104</f>
        <v>5749.28</v>
      </c>
      <c r="F108" s="24">
        <f>F107+F104</f>
        <v>579197.01</v>
      </c>
      <c r="G108" s="24">
        <f>G107+G104</f>
        <v>69035.06</v>
      </c>
      <c r="H108" s="26">
        <f>H107+H104</f>
        <v>763288.09</v>
      </c>
      <c r="I108" s="76"/>
      <c r="J108" s="76"/>
      <c r="K108" s="76"/>
      <c r="L108" s="76"/>
      <c r="M108" s="93"/>
      <c r="N108" s="76"/>
      <c r="O108" s="76"/>
    </row>
    <row r="109" spans="1:15" ht="27.75" customHeight="1" x14ac:dyDescent="0.2">
      <c r="A109" s="28"/>
      <c r="B109" s="673" t="s">
        <v>122</v>
      </c>
      <c r="C109" s="673"/>
      <c r="D109" s="32">
        <f>D108</f>
        <v>109306.74</v>
      </c>
      <c r="E109" s="32">
        <f t="shared" ref="E109:H109" si="23">E108</f>
        <v>5749.28</v>
      </c>
      <c r="F109" s="32">
        <f t="shared" si="23"/>
        <v>579197.01</v>
      </c>
      <c r="G109" s="32">
        <f t="shared" si="23"/>
        <v>69035.06</v>
      </c>
      <c r="H109" s="32">
        <f t="shared" si="23"/>
        <v>763288.09</v>
      </c>
      <c r="I109" s="77"/>
      <c r="J109" s="77"/>
      <c r="K109" s="77"/>
      <c r="L109" s="77"/>
      <c r="M109" s="95"/>
      <c r="N109" s="77"/>
      <c r="O109" s="77"/>
    </row>
    <row r="110" spans="1:15" ht="26.25" customHeight="1" thickBot="1" x14ac:dyDescent="0.25">
      <c r="A110" s="33"/>
      <c r="B110" s="34" t="s">
        <v>123</v>
      </c>
      <c r="C110" s="35" t="s">
        <v>124</v>
      </c>
      <c r="D110" s="36">
        <f>ROUND(D73*15%,2)</f>
        <v>353.19</v>
      </c>
      <c r="E110" s="36">
        <f>ROUND(E73*15%,2)</f>
        <v>18.82</v>
      </c>
      <c r="F110" s="37"/>
      <c r="G110" s="37"/>
      <c r="H110" s="38">
        <f>D110+E110+F110+G110</f>
        <v>372.01</v>
      </c>
      <c r="I110" s="78"/>
      <c r="J110" s="78"/>
      <c r="K110" s="78"/>
      <c r="L110" s="78"/>
      <c r="M110" s="99"/>
      <c r="N110" s="78"/>
      <c r="O110" s="78"/>
    </row>
    <row r="111" spans="1:15" ht="12.75" hidden="1" customHeight="1" x14ac:dyDescent="0.2">
      <c r="A111" s="702" t="s">
        <v>125</v>
      </c>
      <c r="B111" s="702"/>
      <c r="C111" s="702"/>
      <c r="D111" s="702"/>
      <c r="E111" s="702"/>
      <c r="F111" s="702"/>
      <c r="G111" s="702"/>
      <c r="H111" s="702"/>
      <c r="I111" s="75"/>
      <c r="J111" s="75"/>
      <c r="K111" s="75"/>
      <c r="L111" s="75"/>
      <c r="M111" s="92"/>
      <c r="N111" s="75"/>
      <c r="O111" s="75"/>
    </row>
    <row r="112" spans="1:15" hidden="1" x14ac:dyDescent="0.2">
      <c r="A112" s="39"/>
      <c r="B112" s="40"/>
      <c r="C112" s="41"/>
      <c r="D112" s="29"/>
      <c r="E112" s="29"/>
      <c r="F112" s="30"/>
      <c r="G112" s="30"/>
      <c r="H112" s="30"/>
      <c r="I112" s="79"/>
      <c r="J112" s="79"/>
      <c r="K112" s="79"/>
      <c r="L112" s="79"/>
      <c r="M112" s="100"/>
      <c r="N112" s="79"/>
      <c r="O112" s="79"/>
    </row>
    <row r="113" spans="1:15" hidden="1" x14ac:dyDescent="0.2">
      <c r="A113" s="39"/>
      <c r="B113" s="42"/>
      <c r="C113" s="43" t="s">
        <v>126</v>
      </c>
      <c r="D113" s="44"/>
      <c r="E113" s="44"/>
      <c r="F113" s="30"/>
      <c r="G113" s="45">
        <f>G112</f>
        <v>0</v>
      </c>
      <c r="H113" s="45">
        <f>H112</f>
        <v>0</v>
      </c>
      <c r="I113" s="80"/>
      <c r="J113" s="80"/>
      <c r="K113" s="80"/>
      <c r="L113" s="80"/>
      <c r="M113" s="101"/>
      <c r="N113" s="80"/>
      <c r="O113" s="80"/>
    </row>
    <row r="114" spans="1:15" x14ac:dyDescent="0.2">
      <c r="A114" s="39">
        <v>37</v>
      </c>
      <c r="B114" s="42"/>
      <c r="C114" s="46" t="s">
        <v>127</v>
      </c>
      <c r="D114" s="24">
        <f>ROUND((D36+D44+D50+D60+D71+D77)*1.02,2)</f>
        <v>102932.29</v>
      </c>
      <c r="E114" s="24">
        <f>ROUND((E36+E44+E50+E60+E71+E77)*1.02,2)</f>
        <v>5654.77</v>
      </c>
      <c r="F114" s="25"/>
      <c r="G114" s="25"/>
      <c r="H114" s="25">
        <f>D114+E114+F114+G114</f>
        <v>108587.06</v>
      </c>
      <c r="I114" s="78"/>
      <c r="J114" s="78"/>
      <c r="K114" s="78"/>
      <c r="L114" s="78"/>
      <c r="M114" s="99"/>
      <c r="N114" s="78"/>
      <c r="O114" s="78"/>
    </row>
    <row r="115" spans="1:15" x14ac:dyDescent="0.2">
      <c r="A115" s="39">
        <v>38</v>
      </c>
      <c r="B115" s="42"/>
      <c r="C115" s="46" t="s">
        <v>128</v>
      </c>
      <c r="D115" s="24">
        <f>ROUND(D46*1.02,2)</f>
        <v>1189.71</v>
      </c>
      <c r="E115" s="24">
        <f>ROUND(E46*1.02,2)</f>
        <v>81.040000000000006</v>
      </c>
      <c r="F115" s="25"/>
      <c r="G115" s="25"/>
      <c r="H115" s="25">
        <f t="shared" ref="H115:H135" si="24">D115+E115+F115+G115</f>
        <v>1270.75</v>
      </c>
      <c r="I115" s="78"/>
      <c r="J115" s="78"/>
      <c r="K115" s="78"/>
      <c r="L115" s="78"/>
      <c r="M115" s="99"/>
      <c r="N115" s="78"/>
      <c r="O115" s="78"/>
    </row>
    <row r="116" spans="1:15" x14ac:dyDescent="0.2">
      <c r="A116" s="39">
        <v>39</v>
      </c>
      <c r="B116" s="42"/>
      <c r="C116" s="46" t="s">
        <v>129</v>
      </c>
      <c r="D116" s="24">
        <f>ROUND(D53*1.02,2)</f>
        <v>1415.08</v>
      </c>
      <c r="E116" s="24">
        <f>ROUND(E53*1.02,2)</f>
        <v>9.6</v>
      </c>
      <c r="F116" s="25"/>
      <c r="G116" s="25"/>
      <c r="H116" s="25">
        <f t="shared" si="24"/>
        <v>1424.68</v>
      </c>
      <c r="I116" s="78"/>
      <c r="J116" s="78"/>
      <c r="K116" s="78"/>
      <c r="L116" s="78"/>
      <c r="M116" s="99"/>
      <c r="N116" s="78"/>
      <c r="O116" s="78"/>
    </row>
    <row r="117" spans="1:15" x14ac:dyDescent="0.2">
      <c r="A117" s="39">
        <v>40</v>
      </c>
      <c r="B117" s="42"/>
      <c r="C117" s="46" t="s">
        <v>130</v>
      </c>
      <c r="D117" s="24">
        <f>ROUND(D54*1.02,2)</f>
        <v>1894.79</v>
      </c>
      <c r="E117" s="24">
        <f>ROUND(E54*1.02,2)</f>
        <v>3.88</v>
      </c>
      <c r="F117" s="25"/>
      <c r="G117" s="25"/>
      <c r="H117" s="25">
        <f t="shared" si="24"/>
        <v>1898.67</v>
      </c>
      <c r="I117" s="78"/>
      <c r="J117" s="78"/>
      <c r="K117" s="78"/>
      <c r="L117" s="78"/>
      <c r="M117" s="99"/>
      <c r="N117" s="78"/>
      <c r="O117" s="78"/>
    </row>
    <row r="118" spans="1:15" x14ac:dyDescent="0.2">
      <c r="A118" s="39">
        <v>41</v>
      </c>
      <c r="B118" s="42"/>
      <c r="C118" s="46" t="s">
        <v>131</v>
      </c>
      <c r="D118" s="24">
        <f>ROUND(D55*1.02,2)</f>
        <v>460.29</v>
      </c>
      <c r="E118" s="24"/>
      <c r="F118" s="25"/>
      <c r="G118" s="25"/>
      <c r="H118" s="25">
        <f t="shared" si="24"/>
        <v>460.29</v>
      </c>
      <c r="I118" s="78"/>
      <c r="J118" s="78"/>
      <c r="K118" s="78"/>
      <c r="L118" s="78"/>
      <c r="M118" s="99"/>
      <c r="N118" s="78"/>
      <c r="O118" s="78"/>
    </row>
    <row r="119" spans="1:15" x14ac:dyDescent="0.2">
      <c r="A119" s="39">
        <v>42</v>
      </c>
      <c r="B119" s="42"/>
      <c r="C119" s="46" t="s">
        <v>132</v>
      </c>
      <c r="D119" s="24"/>
      <c r="E119" s="24"/>
      <c r="F119" s="25">
        <f>ROUND(F104*1.02,2)</f>
        <v>579197.01</v>
      </c>
      <c r="G119" s="25"/>
      <c r="H119" s="25">
        <f t="shared" si="24"/>
        <v>579197.01</v>
      </c>
      <c r="I119" s="78"/>
      <c r="J119" s="78"/>
      <c r="K119" s="78"/>
      <c r="L119" s="78"/>
      <c r="M119" s="99"/>
      <c r="N119" s="78"/>
      <c r="O119" s="78"/>
    </row>
    <row r="120" spans="1:15" hidden="1" x14ac:dyDescent="0.2">
      <c r="A120" s="39">
        <v>45</v>
      </c>
      <c r="B120" s="42"/>
      <c r="C120" s="43" t="s">
        <v>133</v>
      </c>
      <c r="D120" s="32"/>
      <c r="E120" s="32"/>
      <c r="F120" s="47"/>
      <c r="G120" s="47">
        <f>ROUND((G78+G79)*1.02,2)</f>
        <v>816.15</v>
      </c>
      <c r="H120" s="47">
        <f t="shared" si="24"/>
        <v>816.15</v>
      </c>
      <c r="I120" s="81"/>
      <c r="J120" s="81"/>
      <c r="K120" s="81"/>
      <c r="L120" s="81"/>
      <c r="M120" s="102"/>
      <c r="N120" s="81"/>
      <c r="O120" s="81"/>
    </row>
    <row r="121" spans="1:15" hidden="1" x14ac:dyDescent="0.2">
      <c r="A121" s="39">
        <v>46</v>
      </c>
      <c r="B121" s="42"/>
      <c r="C121" s="43" t="s">
        <v>134</v>
      </c>
      <c r="D121" s="32"/>
      <c r="E121" s="32"/>
      <c r="F121" s="47"/>
      <c r="G121" s="47">
        <f>ROUND(G34*1.02,2)</f>
        <v>1485.76</v>
      </c>
      <c r="H121" s="47">
        <f t="shared" si="24"/>
        <v>1485.76</v>
      </c>
      <c r="I121" s="81"/>
      <c r="J121" s="81"/>
      <c r="K121" s="81"/>
      <c r="L121" s="81"/>
      <c r="M121" s="102"/>
      <c r="N121" s="81"/>
      <c r="O121" s="81"/>
    </row>
    <row r="122" spans="1:15" hidden="1" x14ac:dyDescent="0.2">
      <c r="A122" s="39">
        <v>47</v>
      </c>
      <c r="B122" s="42"/>
      <c r="C122" s="43" t="s">
        <v>135</v>
      </c>
      <c r="D122" s="32"/>
      <c r="E122" s="32"/>
      <c r="F122" s="47"/>
      <c r="G122" s="47">
        <f>ROUND(G35*1.02,2)</f>
        <v>3.8</v>
      </c>
      <c r="H122" s="47">
        <f t="shared" si="24"/>
        <v>3.8</v>
      </c>
      <c r="I122" s="81"/>
      <c r="J122" s="81"/>
      <c r="K122" s="81"/>
      <c r="L122" s="81"/>
      <c r="M122" s="102"/>
      <c r="N122" s="81"/>
      <c r="O122" s="81"/>
    </row>
    <row r="123" spans="1:15" hidden="1" x14ac:dyDescent="0.2">
      <c r="A123" s="39">
        <v>48</v>
      </c>
      <c r="B123" s="42"/>
      <c r="C123" s="43" t="s">
        <v>136</v>
      </c>
      <c r="D123" s="32"/>
      <c r="E123" s="32"/>
      <c r="F123" s="47"/>
      <c r="G123" s="47">
        <f>ROUND(G82*1.02,2)</f>
        <v>6.11</v>
      </c>
      <c r="H123" s="47">
        <f t="shared" si="24"/>
        <v>6.11</v>
      </c>
      <c r="I123" s="81"/>
      <c r="J123" s="81"/>
      <c r="K123" s="81"/>
      <c r="L123" s="81"/>
      <c r="M123" s="102"/>
      <c r="N123" s="81"/>
      <c r="O123" s="81"/>
    </row>
    <row r="124" spans="1:15" hidden="1" x14ac:dyDescent="0.2">
      <c r="A124" s="39">
        <v>49</v>
      </c>
      <c r="B124" s="42"/>
      <c r="C124" s="43" t="s">
        <v>87</v>
      </c>
      <c r="D124" s="32"/>
      <c r="E124" s="32"/>
      <c r="F124" s="47"/>
      <c r="G124" s="47">
        <f>ROUND(G83*1.02,2)</f>
        <v>54.76</v>
      </c>
      <c r="H124" s="47">
        <f t="shared" si="24"/>
        <v>54.76</v>
      </c>
      <c r="I124" s="81"/>
      <c r="J124" s="81"/>
      <c r="K124" s="81"/>
      <c r="L124" s="81"/>
      <c r="M124" s="102"/>
      <c r="N124" s="81"/>
      <c r="O124" s="81"/>
    </row>
    <row r="125" spans="1:15" hidden="1" x14ac:dyDescent="0.2">
      <c r="A125" s="39">
        <v>50</v>
      </c>
      <c r="B125" s="42"/>
      <c r="C125" s="43" t="s">
        <v>137</v>
      </c>
      <c r="D125" s="32"/>
      <c r="E125" s="32"/>
      <c r="F125" s="47"/>
      <c r="G125" s="47">
        <f>ROUND(G84*1.02,2)</f>
        <v>21644.41</v>
      </c>
      <c r="H125" s="47">
        <f t="shared" si="24"/>
        <v>21644.41</v>
      </c>
      <c r="I125" s="81"/>
      <c r="J125" s="81"/>
      <c r="K125" s="81"/>
      <c r="L125" s="81"/>
      <c r="M125" s="102"/>
      <c r="N125" s="81"/>
      <c r="O125" s="81"/>
    </row>
    <row r="126" spans="1:15" hidden="1" x14ac:dyDescent="0.2">
      <c r="A126" s="39">
        <v>51</v>
      </c>
      <c r="B126" s="42"/>
      <c r="C126" s="43" t="s">
        <v>138</v>
      </c>
      <c r="D126" s="47">
        <f>ROUND(D85*1.02,2)</f>
        <v>842.52</v>
      </c>
      <c r="E126" s="32"/>
      <c r="F126" s="47"/>
      <c r="G126" s="48"/>
      <c r="H126" s="47">
        <f t="shared" si="24"/>
        <v>842.52</v>
      </c>
      <c r="I126" s="81"/>
      <c r="J126" s="81"/>
      <c r="K126" s="81"/>
      <c r="L126" s="81"/>
      <c r="M126" s="102"/>
      <c r="N126" s="81"/>
      <c r="O126" s="81"/>
    </row>
    <row r="127" spans="1:15" hidden="1" x14ac:dyDescent="0.2">
      <c r="A127" s="39"/>
      <c r="B127" s="42"/>
      <c r="C127" s="43" t="s">
        <v>95</v>
      </c>
      <c r="D127" s="47">
        <f>ROUND(D88*1.02,2)</f>
        <v>572.07000000000005</v>
      </c>
      <c r="E127" s="32"/>
      <c r="F127" s="47"/>
      <c r="G127" s="25"/>
      <c r="H127" s="47">
        <f t="shared" si="24"/>
        <v>572.07000000000005</v>
      </c>
      <c r="I127" s="81"/>
      <c r="J127" s="81"/>
      <c r="K127" s="81"/>
      <c r="L127" s="81"/>
      <c r="M127" s="102"/>
      <c r="N127" s="81"/>
      <c r="O127" s="81"/>
    </row>
    <row r="128" spans="1:15" hidden="1" x14ac:dyDescent="0.2">
      <c r="A128" s="39">
        <v>52</v>
      </c>
      <c r="B128" s="42"/>
      <c r="C128" s="43" t="s">
        <v>139</v>
      </c>
      <c r="D128" s="32"/>
      <c r="E128" s="32"/>
      <c r="F128" s="47"/>
      <c r="G128" s="47">
        <f>ROUND(G86*1.02,2)</f>
        <v>5207.74</v>
      </c>
      <c r="H128" s="47">
        <f t="shared" si="24"/>
        <v>5207.74</v>
      </c>
      <c r="I128" s="81"/>
      <c r="J128" s="81"/>
      <c r="K128" s="81"/>
      <c r="L128" s="81"/>
      <c r="M128" s="102"/>
      <c r="N128" s="81"/>
      <c r="O128" s="81"/>
    </row>
    <row r="129" spans="1:15" hidden="1" x14ac:dyDescent="0.2">
      <c r="A129" s="39">
        <v>53</v>
      </c>
      <c r="B129" s="42"/>
      <c r="C129" s="43" t="s">
        <v>140</v>
      </c>
      <c r="D129" s="32"/>
      <c r="E129" s="32"/>
      <c r="F129" s="47"/>
      <c r="G129" s="47">
        <f>ROUND(G89*1.02,2)</f>
        <v>13.85</v>
      </c>
      <c r="H129" s="47">
        <f t="shared" si="24"/>
        <v>13.85</v>
      </c>
      <c r="I129" s="81"/>
      <c r="J129" s="81"/>
      <c r="K129" s="81"/>
      <c r="L129" s="81"/>
      <c r="M129" s="102"/>
      <c r="N129" s="81"/>
      <c r="O129" s="81"/>
    </row>
    <row r="130" spans="1:15" hidden="1" x14ac:dyDescent="0.2">
      <c r="A130" s="39">
        <v>54</v>
      </c>
      <c r="B130" s="42"/>
      <c r="C130" s="43" t="s">
        <v>141</v>
      </c>
      <c r="D130" s="32"/>
      <c r="E130" s="32"/>
      <c r="F130" s="47"/>
      <c r="G130" s="47">
        <f>ROUND(G91*1.02,2)</f>
        <v>1063.81</v>
      </c>
      <c r="H130" s="47">
        <f t="shared" si="24"/>
        <v>1063.81</v>
      </c>
      <c r="I130" s="81"/>
      <c r="J130" s="81"/>
      <c r="K130" s="81"/>
      <c r="L130" s="81"/>
      <c r="M130" s="102"/>
      <c r="N130" s="81"/>
      <c r="O130" s="81"/>
    </row>
    <row r="131" spans="1:15" hidden="1" x14ac:dyDescent="0.2">
      <c r="A131" s="39">
        <v>55</v>
      </c>
      <c r="B131" s="42"/>
      <c r="C131" s="43" t="s">
        <v>142</v>
      </c>
      <c r="D131" s="32"/>
      <c r="E131" s="32"/>
      <c r="F131" s="47"/>
      <c r="G131" s="47">
        <f>ROUND(G95*1.02,2)</f>
        <v>8528.7800000000007</v>
      </c>
      <c r="H131" s="47">
        <f t="shared" si="24"/>
        <v>8528.7800000000007</v>
      </c>
      <c r="I131" s="81"/>
      <c r="J131" s="81"/>
      <c r="K131" s="81"/>
      <c r="L131" s="81"/>
      <c r="M131" s="102"/>
      <c r="N131" s="81"/>
      <c r="O131" s="81"/>
    </row>
    <row r="132" spans="1:15" hidden="1" x14ac:dyDescent="0.2">
      <c r="A132" s="39">
        <v>56</v>
      </c>
      <c r="B132" s="42"/>
      <c r="C132" s="43" t="s">
        <v>108</v>
      </c>
      <c r="D132" s="32"/>
      <c r="E132" s="32"/>
      <c r="F132" s="47"/>
      <c r="G132" s="47">
        <f>ROUND(G98*1.02,2)</f>
        <v>6420.02</v>
      </c>
      <c r="H132" s="47">
        <f t="shared" si="24"/>
        <v>6420.02</v>
      </c>
      <c r="I132" s="81"/>
      <c r="J132" s="81"/>
      <c r="K132" s="81"/>
      <c r="L132" s="81"/>
      <c r="M132" s="102"/>
      <c r="N132" s="81"/>
      <c r="O132" s="81"/>
    </row>
    <row r="133" spans="1:15" hidden="1" x14ac:dyDescent="0.2">
      <c r="A133" s="39">
        <v>57</v>
      </c>
      <c r="B133" s="42"/>
      <c r="C133" s="43" t="s">
        <v>143</v>
      </c>
      <c r="D133" s="32"/>
      <c r="E133" s="32"/>
      <c r="F133" s="47"/>
      <c r="G133" s="47">
        <f>ROUND((G99+G100)*1.02,2)</f>
        <v>23005.68</v>
      </c>
      <c r="H133" s="47">
        <f t="shared" si="24"/>
        <v>23005.68</v>
      </c>
      <c r="I133" s="81"/>
      <c r="J133" s="81"/>
      <c r="K133" s="81"/>
      <c r="L133" s="81"/>
      <c r="M133" s="102"/>
      <c r="N133" s="81"/>
      <c r="O133" s="81"/>
    </row>
    <row r="134" spans="1:15" hidden="1" x14ac:dyDescent="0.2">
      <c r="A134" s="39">
        <v>59</v>
      </c>
      <c r="B134" s="42"/>
      <c r="C134" s="43" t="s">
        <v>144</v>
      </c>
      <c r="D134" s="32"/>
      <c r="E134" s="32"/>
      <c r="F134" s="47"/>
      <c r="G134" s="47">
        <f>ROUND(G102*1.02,2)</f>
        <v>96.56</v>
      </c>
      <c r="H134" s="47">
        <f t="shared" si="24"/>
        <v>96.56</v>
      </c>
      <c r="I134" s="81"/>
      <c r="J134" s="81"/>
      <c r="K134" s="81"/>
      <c r="L134" s="81"/>
      <c r="M134" s="102"/>
      <c r="N134" s="81"/>
      <c r="O134" s="81"/>
    </row>
    <row r="135" spans="1:15" hidden="1" x14ac:dyDescent="0.2">
      <c r="A135" s="39">
        <v>60</v>
      </c>
      <c r="B135" s="42"/>
      <c r="C135" s="43" t="s">
        <v>145</v>
      </c>
      <c r="D135" s="32"/>
      <c r="E135" s="32"/>
      <c r="F135" s="47"/>
      <c r="G135" s="47">
        <f>ROUND(G101*1.02,2)</f>
        <v>687.6</v>
      </c>
      <c r="H135" s="47">
        <f t="shared" si="24"/>
        <v>687.6</v>
      </c>
      <c r="I135" s="81"/>
      <c r="J135" s="81"/>
      <c r="K135" s="81"/>
      <c r="L135" s="81"/>
      <c r="M135" s="102"/>
      <c r="N135" s="81"/>
      <c r="O135" s="81"/>
    </row>
    <row r="136" spans="1:15" hidden="1" x14ac:dyDescent="0.2">
      <c r="A136" s="39">
        <v>61</v>
      </c>
      <c r="B136" s="42"/>
      <c r="C136" s="43" t="s">
        <v>146</v>
      </c>
      <c r="D136" s="32">
        <f>SUM(D114:D135)</f>
        <v>109306.75</v>
      </c>
      <c r="E136" s="32">
        <f>SUM(E114:E135)</f>
        <v>5749.29</v>
      </c>
      <c r="F136" s="32">
        <f>SUM(F114:F135)</f>
        <v>579197.01</v>
      </c>
      <c r="G136" s="32">
        <f>SUM(G114:G135)</f>
        <v>69035.03</v>
      </c>
      <c r="H136" s="32">
        <f>SUM(H114:H135)</f>
        <v>763288.08</v>
      </c>
      <c r="I136" s="77"/>
      <c r="J136" s="77"/>
      <c r="K136" s="77"/>
      <c r="L136" s="77"/>
      <c r="M136" s="95"/>
      <c r="N136" s="77"/>
      <c r="O136" s="77"/>
    </row>
    <row r="137" spans="1:15" x14ac:dyDescent="0.2">
      <c r="A137" s="39"/>
      <c r="B137" s="42"/>
      <c r="C137" s="43"/>
      <c r="D137" s="32"/>
      <c r="E137" s="32"/>
      <c r="F137" s="47"/>
      <c r="G137" s="47"/>
      <c r="H137" s="47"/>
      <c r="I137" s="81"/>
      <c r="J137" s="81"/>
      <c r="K137" s="81"/>
      <c r="L137" s="81"/>
      <c r="M137" s="102"/>
      <c r="N137" s="81"/>
      <c r="O137" s="81"/>
    </row>
    <row r="138" spans="1:15" ht="18" customHeight="1" x14ac:dyDescent="0.2">
      <c r="A138" s="39"/>
      <c r="B138" s="703" t="s">
        <v>147</v>
      </c>
      <c r="C138" s="703"/>
      <c r="D138" s="30"/>
      <c r="E138" s="30"/>
      <c r="F138" s="30"/>
      <c r="G138" s="30"/>
      <c r="H138" s="30"/>
      <c r="I138" s="79"/>
      <c r="J138" s="79"/>
      <c r="K138" s="79"/>
      <c r="L138" s="79"/>
      <c r="M138" s="100"/>
      <c r="N138" s="79"/>
      <c r="O138" s="79"/>
    </row>
    <row r="139" spans="1:15" ht="51" x14ac:dyDescent="0.2">
      <c r="A139" s="39">
        <v>43</v>
      </c>
      <c r="B139" s="23" t="s">
        <v>148</v>
      </c>
      <c r="C139" s="50" t="s">
        <v>149</v>
      </c>
      <c r="D139" s="25">
        <f>ROUND(D114*8.1,2)</f>
        <v>833751.55</v>
      </c>
      <c r="E139" s="25">
        <f>ROUND(E114*8.1,2)</f>
        <v>45803.64</v>
      </c>
      <c r="F139" s="25"/>
      <c r="G139" s="25"/>
      <c r="H139" s="25">
        <f t="shared" ref="H139:H162" si="25">D139+E139+F139+G139</f>
        <v>879555.19</v>
      </c>
      <c r="I139" s="78"/>
      <c r="J139" s="78"/>
      <c r="K139" s="78"/>
      <c r="L139" s="78"/>
      <c r="M139" s="99"/>
      <c r="N139" s="78"/>
      <c r="O139" s="78"/>
    </row>
    <row r="140" spans="1:15" ht="63.75" x14ac:dyDescent="0.2">
      <c r="A140" s="39">
        <v>44</v>
      </c>
      <c r="B140" s="23" t="s">
        <v>150</v>
      </c>
      <c r="C140" s="50" t="s">
        <v>151</v>
      </c>
      <c r="D140" s="25">
        <f>ROUND((D115)*5.55,2)</f>
        <v>6602.89</v>
      </c>
      <c r="E140" s="25">
        <f>ROUND((E115)*5.55,2)</f>
        <v>449.77</v>
      </c>
      <c r="F140" s="25"/>
      <c r="G140" s="25"/>
      <c r="H140" s="25">
        <f t="shared" si="25"/>
        <v>7052.66</v>
      </c>
      <c r="I140" s="78"/>
      <c r="J140" s="78"/>
      <c r="K140" s="78"/>
      <c r="L140" s="78"/>
      <c r="M140" s="99"/>
      <c r="N140" s="78"/>
      <c r="O140" s="78"/>
    </row>
    <row r="141" spans="1:15" ht="51" x14ac:dyDescent="0.2">
      <c r="A141" s="39">
        <v>45</v>
      </c>
      <c r="B141" s="23" t="s">
        <v>152</v>
      </c>
      <c r="C141" s="50" t="s">
        <v>153</v>
      </c>
      <c r="D141" s="25">
        <f>ROUND(D116*8.98,2)</f>
        <v>12707.42</v>
      </c>
      <c r="E141" s="25">
        <f>ROUND(E116*8.98,2)</f>
        <v>86.21</v>
      </c>
      <c r="F141" s="25"/>
      <c r="G141" s="25"/>
      <c r="H141" s="25">
        <f t="shared" si="25"/>
        <v>12793.63</v>
      </c>
      <c r="I141" s="78"/>
      <c r="J141" s="78"/>
      <c r="K141" s="78"/>
      <c r="L141" s="78"/>
      <c r="M141" s="99"/>
      <c r="N141" s="78"/>
      <c r="O141" s="78"/>
    </row>
    <row r="142" spans="1:15" ht="51" x14ac:dyDescent="0.2">
      <c r="A142" s="39">
        <v>46</v>
      </c>
      <c r="B142" s="23" t="s">
        <v>154</v>
      </c>
      <c r="C142" s="50" t="s">
        <v>155</v>
      </c>
      <c r="D142" s="25">
        <f>ROUND(D117*5.99,2)</f>
        <v>11349.79</v>
      </c>
      <c r="E142" s="25">
        <f>ROUND(E117*5.99,2)</f>
        <v>23.24</v>
      </c>
      <c r="F142" s="25"/>
      <c r="G142" s="25"/>
      <c r="H142" s="25">
        <f t="shared" si="25"/>
        <v>11373.03</v>
      </c>
      <c r="I142" s="78"/>
      <c r="J142" s="78"/>
      <c r="K142" s="78"/>
      <c r="L142" s="78"/>
      <c r="M142" s="99"/>
      <c r="N142" s="78"/>
      <c r="O142" s="78"/>
    </row>
    <row r="143" spans="1:15" ht="51" x14ac:dyDescent="0.2">
      <c r="A143" s="39">
        <v>47</v>
      </c>
      <c r="B143" s="23" t="s">
        <v>156</v>
      </c>
      <c r="C143" s="50" t="s">
        <v>157</v>
      </c>
      <c r="D143" s="25">
        <f>ROUND(D118*7.99,2)</f>
        <v>3677.72</v>
      </c>
      <c r="E143" s="25"/>
      <c r="F143" s="25"/>
      <c r="G143" s="25"/>
      <c r="H143" s="25">
        <f t="shared" si="25"/>
        <v>3677.72</v>
      </c>
      <c r="I143" s="78"/>
      <c r="J143" s="78"/>
      <c r="K143" s="78"/>
      <c r="L143" s="78"/>
      <c r="M143" s="99"/>
      <c r="N143" s="78"/>
      <c r="O143" s="78"/>
    </row>
    <row r="144" spans="1:15" ht="63.75" x14ac:dyDescent="0.2">
      <c r="A144" s="39">
        <v>48</v>
      </c>
      <c r="B144" s="23" t="s">
        <v>158</v>
      </c>
      <c r="C144" s="50" t="s">
        <v>159</v>
      </c>
      <c r="D144" s="25"/>
      <c r="E144" s="25"/>
      <c r="F144" s="25">
        <f>ROUND(F119*4.09,2)</f>
        <v>2368915.77</v>
      </c>
      <c r="G144" s="25"/>
      <c r="H144" s="25">
        <f t="shared" si="25"/>
        <v>2368915.77</v>
      </c>
      <c r="I144" s="78"/>
      <c r="J144" s="78"/>
      <c r="K144" s="78"/>
      <c r="L144" s="78"/>
      <c r="M144" s="99"/>
      <c r="N144" s="78"/>
      <c r="O144" s="78"/>
    </row>
    <row r="145" spans="1:15" ht="51" x14ac:dyDescent="0.2">
      <c r="A145" s="39">
        <v>49</v>
      </c>
      <c r="B145" s="23" t="s">
        <v>160</v>
      </c>
      <c r="C145" s="23" t="s">
        <v>161</v>
      </c>
      <c r="D145" s="25"/>
      <c r="E145" s="25"/>
      <c r="F145" s="25"/>
      <c r="G145" s="25">
        <f>ROUND(G121*4.35*1.266,2)</f>
        <v>8182.23</v>
      </c>
      <c r="H145" s="25">
        <f t="shared" si="25"/>
        <v>8182.23</v>
      </c>
      <c r="I145" s="78"/>
      <c r="J145" s="78"/>
      <c r="K145" s="78"/>
      <c r="L145" s="78"/>
      <c r="M145" s="99"/>
      <c r="N145" s="78"/>
      <c r="O145" s="78"/>
    </row>
    <row r="146" spans="1:15" ht="63.75" x14ac:dyDescent="0.2">
      <c r="A146" s="39">
        <v>50</v>
      </c>
      <c r="B146" s="23" t="s">
        <v>158</v>
      </c>
      <c r="C146" s="23" t="s">
        <v>162</v>
      </c>
      <c r="D146" s="25"/>
      <c r="E146" s="25"/>
      <c r="F146" s="25"/>
      <c r="G146" s="25">
        <f>ROUND(G122*10.79,2)</f>
        <v>41</v>
      </c>
      <c r="H146" s="25">
        <f t="shared" si="25"/>
        <v>41</v>
      </c>
      <c r="I146" s="78"/>
      <c r="J146" s="78"/>
      <c r="K146" s="78"/>
      <c r="L146" s="78"/>
      <c r="M146" s="99"/>
      <c r="N146" s="78"/>
      <c r="O146" s="78"/>
    </row>
    <row r="147" spans="1:15" ht="55.5" x14ac:dyDescent="0.2">
      <c r="A147" s="39">
        <v>51</v>
      </c>
      <c r="B147" s="23" t="s">
        <v>163</v>
      </c>
      <c r="C147" s="23" t="s">
        <v>164</v>
      </c>
      <c r="D147" s="24"/>
      <c r="E147" s="25"/>
      <c r="F147" s="25"/>
      <c r="G147" s="25">
        <f>ROUND(G120*15.92,2)</f>
        <v>12993.11</v>
      </c>
      <c r="H147" s="25">
        <f t="shared" si="25"/>
        <v>12993.11</v>
      </c>
      <c r="I147" s="78"/>
      <c r="J147" s="78"/>
      <c r="K147" s="78"/>
      <c r="L147" s="78"/>
      <c r="M147" s="99"/>
      <c r="N147" s="78"/>
      <c r="O147" s="78"/>
    </row>
    <row r="148" spans="1:15" ht="51" x14ac:dyDescent="0.2">
      <c r="A148" s="39">
        <v>52</v>
      </c>
      <c r="B148" s="23" t="s">
        <v>148</v>
      </c>
      <c r="C148" s="46" t="s">
        <v>165</v>
      </c>
      <c r="D148" s="24">
        <f>ROUND(D126*8.1,2)</f>
        <v>6824.41</v>
      </c>
      <c r="E148" s="25"/>
      <c r="F148" s="25"/>
      <c r="G148" s="25"/>
      <c r="H148" s="25">
        <f t="shared" si="25"/>
        <v>6824.41</v>
      </c>
      <c r="I148" s="78"/>
      <c r="J148" s="78"/>
      <c r="K148" s="78"/>
      <c r="L148" s="78"/>
      <c r="M148" s="99"/>
      <c r="N148" s="78"/>
      <c r="O148" s="78"/>
    </row>
    <row r="149" spans="1:15" ht="51" x14ac:dyDescent="0.2">
      <c r="A149" s="39">
        <v>53</v>
      </c>
      <c r="B149" s="23" t="s">
        <v>148</v>
      </c>
      <c r="C149" s="46" t="s">
        <v>166</v>
      </c>
      <c r="D149" s="24">
        <f>ROUND(D127*8.1,2)</f>
        <v>4633.7700000000004</v>
      </c>
      <c r="E149" s="25"/>
      <c r="F149" s="25"/>
      <c r="G149" s="25"/>
      <c r="H149" s="25">
        <f t="shared" si="25"/>
        <v>4633.7700000000004</v>
      </c>
      <c r="I149" s="78"/>
      <c r="J149" s="78"/>
      <c r="K149" s="78"/>
      <c r="L149" s="78"/>
      <c r="M149" s="99"/>
      <c r="N149" s="78"/>
      <c r="O149" s="78"/>
    </row>
    <row r="150" spans="1:15" ht="63.75" x14ac:dyDescent="0.2">
      <c r="A150" s="39">
        <v>54</v>
      </c>
      <c r="B150" s="23" t="s">
        <v>158</v>
      </c>
      <c r="C150" s="23" t="s">
        <v>167</v>
      </c>
      <c r="D150" s="24"/>
      <c r="E150" s="25"/>
      <c r="F150" s="25"/>
      <c r="G150" s="25">
        <f>ROUND(G123*10.79,2)</f>
        <v>65.930000000000007</v>
      </c>
      <c r="H150" s="25">
        <f t="shared" si="25"/>
        <v>65.930000000000007</v>
      </c>
      <c r="I150" s="78"/>
      <c r="J150" s="78"/>
      <c r="K150" s="78"/>
      <c r="L150" s="78"/>
      <c r="M150" s="99"/>
      <c r="N150" s="78"/>
      <c r="O150" s="78"/>
    </row>
    <row r="151" spans="1:15" ht="63.75" x14ac:dyDescent="0.2">
      <c r="A151" s="39">
        <v>55</v>
      </c>
      <c r="B151" s="23" t="s">
        <v>158</v>
      </c>
      <c r="C151" s="23" t="s">
        <v>168</v>
      </c>
      <c r="D151" s="24"/>
      <c r="E151" s="25"/>
      <c r="F151" s="25"/>
      <c r="G151" s="25">
        <f>ROUND(G124*10.79,2)</f>
        <v>590.86</v>
      </c>
      <c r="H151" s="25">
        <f t="shared" si="25"/>
        <v>590.86</v>
      </c>
      <c r="I151" s="78"/>
      <c r="J151" s="78"/>
      <c r="K151" s="78"/>
      <c r="L151" s="78"/>
      <c r="M151" s="99"/>
      <c r="N151" s="78"/>
      <c r="O151" s="78"/>
    </row>
    <row r="152" spans="1:15" ht="63.75" x14ac:dyDescent="0.2">
      <c r="A152" s="39">
        <v>56</v>
      </c>
      <c r="B152" s="23" t="s">
        <v>158</v>
      </c>
      <c r="C152" s="23" t="s">
        <v>169</v>
      </c>
      <c r="D152" s="24"/>
      <c r="E152" s="25"/>
      <c r="F152" s="25"/>
      <c r="G152" s="25">
        <f>ROUND(G125*10.79,2)</f>
        <v>233543.18</v>
      </c>
      <c r="H152" s="25">
        <f t="shared" si="25"/>
        <v>233543.18</v>
      </c>
      <c r="I152" s="78"/>
      <c r="J152" s="78"/>
      <c r="K152" s="78"/>
      <c r="L152" s="78"/>
      <c r="M152" s="99"/>
      <c r="N152" s="78"/>
      <c r="O152" s="78"/>
    </row>
    <row r="153" spans="1:15" ht="63.75" x14ac:dyDescent="0.2">
      <c r="A153" s="39">
        <v>57</v>
      </c>
      <c r="B153" s="23" t="s">
        <v>158</v>
      </c>
      <c r="C153" s="23" t="s">
        <v>170</v>
      </c>
      <c r="D153" s="24"/>
      <c r="E153" s="25"/>
      <c r="F153" s="25"/>
      <c r="G153" s="25">
        <f>ROUND(G128*10.79,2)</f>
        <v>56191.51</v>
      </c>
      <c r="H153" s="25">
        <f t="shared" si="25"/>
        <v>56191.51</v>
      </c>
      <c r="I153" s="78"/>
      <c r="J153" s="78"/>
      <c r="K153" s="78"/>
      <c r="L153" s="78"/>
      <c r="M153" s="99"/>
      <c r="N153" s="78"/>
      <c r="O153" s="78"/>
    </row>
    <row r="154" spans="1:15" hidden="1" x14ac:dyDescent="0.2">
      <c r="A154" s="39">
        <v>58</v>
      </c>
      <c r="B154" s="23"/>
      <c r="C154" s="23"/>
      <c r="D154" s="24"/>
      <c r="E154" s="25"/>
      <c r="F154" s="25"/>
      <c r="G154" s="25"/>
      <c r="H154" s="25"/>
      <c r="I154" s="78"/>
      <c r="J154" s="78"/>
      <c r="K154" s="78"/>
      <c r="L154" s="78"/>
      <c r="M154" s="99"/>
      <c r="N154" s="78"/>
      <c r="O154" s="78"/>
    </row>
    <row r="155" spans="1:15" ht="63.75" x14ac:dyDescent="0.2">
      <c r="A155" s="39">
        <v>59</v>
      </c>
      <c r="B155" s="23" t="s">
        <v>158</v>
      </c>
      <c r="C155" s="23" t="s">
        <v>171</v>
      </c>
      <c r="D155" s="24"/>
      <c r="E155" s="25"/>
      <c r="F155" s="25"/>
      <c r="G155" s="25">
        <f>ROUND(G129*10.79,2)</f>
        <v>149.44</v>
      </c>
      <c r="H155" s="25">
        <f t="shared" si="25"/>
        <v>149.44</v>
      </c>
      <c r="I155" s="78"/>
      <c r="J155" s="78"/>
      <c r="K155" s="78"/>
      <c r="L155" s="78"/>
      <c r="M155" s="99"/>
      <c r="N155" s="78"/>
      <c r="O155" s="78"/>
    </row>
    <row r="156" spans="1:15" hidden="1" x14ac:dyDescent="0.2">
      <c r="A156" s="39">
        <v>60</v>
      </c>
      <c r="B156" s="23"/>
      <c r="C156" s="23"/>
      <c r="D156" s="24"/>
      <c r="E156" s="25"/>
      <c r="F156" s="25"/>
      <c r="G156" s="25"/>
      <c r="H156" s="25"/>
      <c r="I156" s="78"/>
      <c r="J156" s="78"/>
      <c r="K156" s="78"/>
      <c r="L156" s="78"/>
      <c r="M156" s="99"/>
      <c r="N156" s="78"/>
      <c r="O156" s="78"/>
    </row>
    <row r="157" spans="1:15" ht="51" x14ac:dyDescent="0.2">
      <c r="A157" s="39">
        <v>61</v>
      </c>
      <c r="B157" s="23" t="s">
        <v>160</v>
      </c>
      <c r="C157" s="23" t="s">
        <v>172</v>
      </c>
      <c r="D157" s="24"/>
      <c r="E157" s="25"/>
      <c r="F157" s="25"/>
      <c r="G157" s="25">
        <f>ROUND(G130*4.35*1.266,2)</f>
        <v>5858.51</v>
      </c>
      <c r="H157" s="25">
        <f t="shared" si="25"/>
        <v>5858.51</v>
      </c>
      <c r="I157" s="78"/>
      <c r="J157" s="78"/>
      <c r="K157" s="78"/>
      <c r="L157" s="78"/>
      <c r="M157" s="99"/>
      <c r="N157" s="78"/>
      <c r="O157" s="78"/>
    </row>
    <row r="158" spans="1:15" ht="38.25" x14ac:dyDescent="0.2">
      <c r="A158" s="39">
        <v>62</v>
      </c>
      <c r="B158" s="23" t="s">
        <v>103</v>
      </c>
      <c r="C158" s="23" t="s">
        <v>173</v>
      </c>
      <c r="D158" s="25"/>
      <c r="E158" s="25"/>
      <c r="F158" s="25"/>
      <c r="G158" s="25">
        <f>ROUND(G131*10.79,2)</f>
        <v>92025.54</v>
      </c>
      <c r="H158" s="25">
        <f t="shared" si="25"/>
        <v>92025.54</v>
      </c>
      <c r="I158" s="78"/>
      <c r="J158" s="78"/>
      <c r="K158" s="78"/>
      <c r="L158" s="78"/>
      <c r="M158" s="99"/>
      <c r="N158" s="78"/>
      <c r="O158" s="78"/>
    </row>
    <row r="159" spans="1:15" ht="25.5" x14ac:dyDescent="0.2">
      <c r="A159" s="39">
        <v>63</v>
      </c>
      <c r="B159" s="23" t="s">
        <v>174</v>
      </c>
      <c r="C159" s="23" t="s">
        <v>175</v>
      </c>
      <c r="D159" s="25"/>
      <c r="E159" s="25"/>
      <c r="F159" s="25"/>
      <c r="G159" s="25">
        <f>ROUND(G132*4.35*1.266,2)</f>
        <v>35355.69</v>
      </c>
      <c r="H159" s="25">
        <f t="shared" si="25"/>
        <v>35355.69</v>
      </c>
      <c r="I159" s="78"/>
      <c r="J159" s="78"/>
      <c r="K159" s="78"/>
      <c r="L159" s="78"/>
      <c r="M159" s="99"/>
      <c r="N159" s="78"/>
      <c r="O159" s="78"/>
    </row>
    <row r="160" spans="1:15" ht="25.5" x14ac:dyDescent="0.2">
      <c r="A160" s="39">
        <v>64</v>
      </c>
      <c r="B160" s="23" t="s">
        <v>176</v>
      </c>
      <c r="C160" s="23" t="s">
        <v>177</v>
      </c>
      <c r="D160" s="24"/>
      <c r="E160" s="25"/>
      <c r="F160" s="25"/>
      <c r="G160" s="25">
        <f>ROUND((G133)*4.27*1.19,2)</f>
        <v>116898.76</v>
      </c>
      <c r="H160" s="25">
        <f t="shared" si="25"/>
        <v>116898.76</v>
      </c>
      <c r="I160" s="78"/>
      <c r="J160" s="78"/>
      <c r="K160" s="78"/>
      <c r="L160" s="78"/>
      <c r="M160" s="99"/>
      <c r="N160" s="78"/>
      <c r="O160" s="78"/>
    </row>
    <row r="161" spans="1:15" ht="25.5" x14ac:dyDescent="0.2">
      <c r="A161" s="39">
        <v>65</v>
      </c>
      <c r="B161" s="23" t="s">
        <v>111</v>
      </c>
      <c r="C161" s="23" t="s">
        <v>178</v>
      </c>
      <c r="D161" s="24"/>
      <c r="E161" s="25"/>
      <c r="F161" s="25"/>
      <c r="G161" s="25">
        <f>ROUND(G135*5.29,2)</f>
        <v>3637.4</v>
      </c>
      <c r="H161" s="25">
        <f t="shared" si="25"/>
        <v>3637.4</v>
      </c>
      <c r="I161" s="78"/>
      <c r="J161" s="78"/>
      <c r="K161" s="78"/>
      <c r="L161" s="78"/>
      <c r="M161" s="99"/>
      <c r="N161" s="78"/>
      <c r="O161" s="78"/>
    </row>
    <row r="162" spans="1:15" ht="76.5" x14ac:dyDescent="0.2">
      <c r="A162" s="39">
        <v>66</v>
      </c>
      <c r="B162" s="23" t="s">
        <v>179</v>
      </c>
      <c r="C162" s="23" t="s">
        <v>180</v>
      </c>
      <c r="D162" s="24"/>
      <c r="E162" s="25"/>
      <c r="F162" s="25"/>
      <c r="G162" s="25">
        <f>ROUND((G99*1.19*4.27+G98*1.266*4.35)*0.0058*1.02,2)</f>
        <v>506.52</v>
      </c>
      <c r="H162" s="25">
        <f t="shared" si="25"/>
        <v>506.52</v>
      </c>
      <c r="I162" s="78"/>
      <c r="J162" s="78"/>
      <c r="K162" s="78"/>
      <c r="L162" s="78"/>
      <c r="M162" s="99"/>
      <c r="N162" s="78"/>
      <c r="O162" s="78"/>
    </row>
    <row r="163" spans="1:15" ht="26.25" customHeight="1" x14ac:dyDescent="0.2">
      <c r="A163" s="39"/>
      <c r="B163" s="673" t="s">
        <v>181</v>
      </c>
      <c r="C163" s="673"/>
      <c r="D163" s="47">
        <f>SUM(D139:D162)</f>
        <v>879547.55</v>
      </c>
      <c r="E163" s="47">
        <f>SUM(E139:E162)</f>
        <v>46362.86</v>
      </c>
      <c r="F163" s="47">
        <f>SUM(F139:F162)</f>
        <v>2368915.77</v>
      </c>
      <c r="G163" s="47">
        <f>SUM(G139:G162)</f>
        <v>566039.68000000005</v>
      </c>
      <c r="H163" s="47">
        <f>SUM(H139:H162)</f>
        <v>3860865.86</v>
      </c>
      <c r="I163" s="81"/>
      <c r="J163" s="81"/>
      <c r="K163" s="81"/>
      <c r="L163" s="81"/>
      <c r="M163" s="102"/>
      <c r="N163" s="81"/>
      <c r="O163" s="81"/>
    </row>
    <row r="164" spans="1:15" ht="27" customHeight="1" x14ac:dyDescent="0.2">
      <c r="A164" s="39"/>
      <c r="B164" s="673" t="s">
        <v>182</v>
      </c>
      <c r="C164" s="673"/>
      <c r="D164" s="47">
        <f>D163</f>
        <v>879547.55</v>
      </c>
      <c r="E164" s="47">
        <f t="shared" ref="E164:H164" si="26">E163</f>
        <v>46362.86</v>
      </c>
      <c r="F164" s="47">
        <f t="shared" si="26"/>
        <v>2368915.77</v>
      </c>
      <c r="G164" s="47">
        <f t="shared" si="26"/>
        <v>566039.68000000005</v>
      </c>
      <c r="H164" s="47">
        <f t="shared" si="26"/>
        <v>3860865.86</v>
      </c>
      <c r="I164" s="81"/>
      <c r="J164" s="81"/>
      <c r="K164" s="81"/>
      <c r="L164" s="81"/>
      <c r="M164" s="102"/>
      <c r="N164" s="81"/>
      <c r="O164" s="81"/>
    </row>
    <row r="165" spans="1:15" ht="25.5" x14ac:dyDescent="0.2">
      <c r="A165" s="39">
        <v>67</v>
      </c>
      <c r="B165" s="23" t="s">
        <v>183</v>
      </c>
      <c r="C165" s="23" t="s">
        <v>184</v>
      </c>
      <c r="D165" s="25">
        <f>ROUND(D164*20%,2)</f>
        <v>175909.51</v>
      </c>
      <c r="E165" s="25">
        <f>ROUND(E164*20%,2)</f>
        <v>9272.57</v>
      </c>
      <c r="F165" s="25">
        <f>ROUND(F164*20%,2)</f>
        <v>473783.15</v>
      </c>
      <c r="G165" s="25">
        <f>ROUND(G164*20%,2)</f>
        <v>113207.94</v>
      </c>
      <c r="H165" s="25">
        <f>D165+E165+F165+G165</f>
        <v>772173.17</v>
      </c>
      <c r="I165" s="78"/>
      <c r="J165" s="78"/>
      <c r="K165" s="78"/>
      <c r="L165" s="78"/>
      <c r="M165" s="99"/>
      <c r="N165" s="78"/>
      <c r="O165" s="78"/>
    </row>
    <row r="166" spans="1:15" ht="28.5" customHeight="1" x14ac:dyDescent="0.2">
      <c r="A166" s="39"/>
      <c r="B166" s="673" t="s">
        <v>185</v>
      </c>
      <c r="C166" s="673"/>
      <c r="D166" s="47">
        <f>D165+D164</f>
        <v>1055457.06</v>
      </c>
      <c r="E166" s="47">
        <f>E165+E164</f>
        <v>55635.43</v>
      </c>
      <c r="F166" s="47">
        <f>F165+F164</f>
        <v>2842698.92</v>
      </c>
      <c r="G166" s="47">
        <f>G165+G164</f>
        <v>679247.62</v>
      </c>
      <c r="H166" s="47">
        <f>D166+E166+F166+G166</f>
        <v>4633039.03</v>
      </c>
      <c r="I166" s="81"/>
      <c r="J166" s="81"/>
      <c r="K166" s="81"/>
      <c r="L166" s="81"/>
      <c r="M166" s="102"/>
      <c r="N166" s="81"/>
      <c r="O166" s="81"/>
    </row>
    <row r="167" spans="1:15" ht="15.75" customHeight="1" x14ac:dyDescent="0.2">
      <c r="A167" s="689" t="s">
        <v>186</v>
      </c>
      <c r="B167" s="690"/>
      <c r="C167" s="691"/>
      <c r="D167" s="47"/>
      <c r="E167" s="47"/>
      <c r="F167" s="47"/>
      <c r="G167" s="47"/>
      <c r="H167" s="47"/>
      <c r="I167" s="81"/>
      <c r="J167" s="81"/>
      <c r="K167" s="81"/>
      <c r="L167" s="81"/>
      <c r="M167" s="102"/>
      <c r="N167" s="81"/>
      <c r="O167" s="81"/>
    </row>
    <row r="168" spans="1:15" ht="30.75" customHeight="1" x14ac:dyDescent="0.2">
      <c r="A168" s="39">
        <v>68</v>
      </c>
      <c r="B168" s="674" t="s">
        <v>187</v>
      </c>
      <c r="C168" s="674"/>
      <c r="D168" s="25">
        <f>ROUND(D110*8.1*1.2,2)</f>
        <v>3433.01</v>
      </c>
      <c r="E168" s="25">
        <f>ROUND(E110*8.1*1.2,2)</f>
        <v>182.93</v>
      </c>
      <c r="F168" s="25"/>
      <c r="G168" s="25"/>
      <c r="H168" s="25">
        <f>D168+E168+F168+G168</f>
        <v>3615.94</v>
      </c>
      <c r="I168" s="78"/>
      <c r="J168" s="78"/>
      <c r="K168" s="78"/>
      <c r="L168" s="78"/>
      <c r="M168" s="99"/>
      <c r="N168" s="78"/>
      <c r="O168" s="78"/>
    </row>
    <row r="169" spans="1:15" ht="15.75" customHeight="1" x14ac:dyDescent="0.2">
      <c r="A169" s="39">
        <v>69</v>
      </c>
      <c r="B169" s="674" t="s">
        <v>188</v>
      </c>
      <c r="C169" s="674"/>
      <c r="D169" s="25"/>
      <c r="E169" s="25"/>
      <c r="F169" s="25"/>
      <c r="G169" s="25">
        <f>G98+G99+G100</f>
        <v>28848.73</v>
      </c>
      <c r="H169" s="25">
        <f>G169</f>
        <v>28848.73</v>
      </c>
      <c r="I169" s="78"/>
      <c r="J169" s="78"/>
      <c r="K169" s="78"/>
      <c r="L169" s="78"/>
      <c r="M169" s="99"/>
      <c r="N169" s="78"/>
      <c r="O169" s="78"/>
    </row>
    <row r="170" spans="1:15" ht="15.75" customHeight="1" x14ac:dyDescent="0.2">
      <c r="A170" s="39">
        <v>70</v>
      </c>
      <c r="B170" s="674" t="s">
        <v>189</v>
      </c>
      <c r="C170" s="674"/>
      <c r="D170" s="25"/>
      <c r="E170" s="25"/>
      <c r="F170" s="25"/>
      <c r="G170" s="25">
        <f>ROUND(((G99+G100)*4.27*1.19+G98*4.35*1.266)*1.2,2)</f>
        <v>179122.92</v>
      </c>
      <c r="H170" s="25">
        <f>G170</f>
        <v>179122.92</v>
      </c>
      <c r="I170" s="78"/>
      <c r="J170" s="78"/>
      <c r="K170" s="78"/>
      <c r="L170" s="78"/>
      <c r="M170" s="99"/>
      <c r="N170" s="78"/>
      <c r="O170" s="78"/>
    </row>
    <row r="174" spans="1:15" ht="12.75" customHeight="1" x14ac:dyDescent="0.2">
      <c r="A174" s="708" t="s">
        <v>190</v>
      </c>
      <c r="B174" s="708"/>
      <c r="C174" s="708"/>
      <c r="D174" s="708"/>
      <c r="E174" s="708"/>
      <c r="F174" s="708"/>
      <c r="G174" s="708"/>
      <c r="H174" s="708"/>
      <c r="I174" s="53"/>
      <c r="J174" s="53"/>
      <c r="K174" s="53"/>
      <c r="L174" s="53"/>
      <c r="M174" s="103"/>
      <c r="N174" s="53"/>
      <c r="O174" s="53"/>
    </row>
    <row r="175" spans="1:15" ht="12.75" customHeight="1" x14ac:dyDescent="0.2">
      <c r="A175" s="709" t="s">
        <v>191</v>
      </c>
      <c r="B175" s="709"/>
      <c r="C175" s="709"/>
      <c r="D175" s="709"/>
      <c r="E175" s="709"/>
      <c r="F175" s="709"/>
      <c r="G175" s="709"/>
      <c r="H175" s="709"/>
      <c r="I175" s="52"/>
      <c r="J175" s="52"/>
      <c r="K175" s="52"/>
      <c r="L175" s="52"/>
      <c r="M175" s="104"/>
      <c r="N175" s="52"/>
      <c r="O175" s="52"/>
    </row>
    <row r="176" spans="1:15" x14ac:dyDescent="0.2">
      <c r="A176" s="53"/>
      <c r="B176" s="54"/>
      <c r="C176"/>
      <c r="D176"/>
      <c r="E176"/>
      <c r="F176" s="55"/>
      <c r="G176" s="55"/>
      <c r="H176" s="55"/>
      <c r="I176" s="55"/>
      <c r="J176" s="55"/>
      <c r="K176" s="55"/>
      <c r="L176" s="55"/>
      <c r="M176" s="105"/>
      <c r="N176" s="55"/>
      <c r="O176" s="55"/>
    </row>
    <row r="177" spans="1:15" x14ac:dyDescent="0.2">
      <c r="A177" s="53"/>
      <c r="B177" s="54"/>
      <c r="C177"/>
      <c r="D177"/>
      <c r="E177"/>
      <c r="F177" s="55"/>
      <c r="G177" s="55"/>
      <c r="H177" s="55"/>
      <c r="I177" s="55"/>
      <c r="J177" s="55"/>
      <c r="K177" s="55"/>
      <c r="L177" s="55"/>
      <c r="M177" s="105"/>
      <c r="N177" s="55"/>
      <c r="O177" s="55"/>
    </row>
    <row r="178" spans="1:15" ht="12.75" customHeight="1" x14ac:dyDescent="0.2">
      <c r="A178" s="708" t="s">
        <v>192</v>
      </c>
      <c r="B178" s="708"/>
      <c r="C178" s="708"/>
      <c r="D178" s="708"/>
      <c r="E178" s="708"/>
      <c r="F178" s="708"/>
      <c r="G178" s="708"/>
      <c r="H178" s="708"/>
      <c r="I178" s="53"/>
      <c r="J178" s="53"/>
      <c r="K178" s="53"/>
      <c r="L178" s="53"/>
      <c r="M178" s="103"/>
      <c r="N178" s="53"/>
      <c r="O178" s="53"/>
    </row>
    <row r="179" spans="1:15" ht="12.75" customHeight="1" x14ac:dyDescent="0.2">
      <c r="A179" s="709" t="s">
        <v>191</v>
      </c>
      <c r="B179" s="709"/>
      <c r="C179" s="709"/>
      <c r="D179" s="709"/>
      <c r="E179" s="709"/>
      <c r="F179" s="709"/>
      <c r="G179" s="709"/>
      <c r="H179" s="709"/>
      <c r="I179" s="52"/>
      <c r="J179" s="52"/>
      <c r="K179" s="52"/>
      <c r="L179" s="52"/>
      <c r="M179" s="104"/>
      <c r="N179" s="52"/>
      <c r="O179" s="52"/>
    </row>
    <row r="180" spans="1:15" x14ac:dyDescent="0.2">
      <c r="A180" s="53"/>
      <c r="B180" s="54"/>
      <c r="C180"/>
      <c r="D180"/>
      <c r="E180"/>
      <c r="F180" s="55"/>
      <c r="G180" s="55"/>
      <c r="H180" s="55"/>
      <c r="I180" s="55"/>
      <c r="J180" s="55"/>
      <c r="K180" s="55"/>
      <c r="L180" s="55"/>
      <c r="M180" s="105"/>
      <c r="N180" s="55"/>
      <c r="O180" s="55"/>
    </row>
    <row r="181" spans="1:15" ht="12.75" customHeight="1" x14ac:dyDescent="0.2">
      <c r="A181" s="708" t="s">
        <v>193</v>
      </c>
      <c r="B181" s="708"/>
      <c r="C181" s="708"/>
      <c r="D181" s="708"/>
      <c r="E181" s="708"/>
      <c r="F181" s="708"/>
      <c r="G181" s="708"/>
      <c r="H181" s="708"/>
      <c r="I181" s="53"/>
      <c r="J181" s="53"/>
      <c r="K181" s="53"/>
      <c r="L181" s="53"/>
      <c r="M181" s="103"/>
      <c r="N181" s="53"/>
      <c r="O181" s="53"/>
    </row>
    <row r="182" spans="1:15" ht="12.75" customHeight="1" x14ac:dyDescent="0.2">
      <c r="A182" s="709" t="s">
        <v>191</v>
      </c>
      <c r="B182" s="709"/>
      <c r="C182" s="709"/>
      <c r="D182" s="709"/>
      <c r="E182" s="709"/>
      <c r="F182" s="709"/>
      <c r="G182" s="709"/>
      <c r="H182" s="709"/>
      <c r="I182" s="52"/>
      <c r="J182" s="52"/>
      <c r="K182" s="52"/>
      <c r="L182" s="52"/>
      <c r="M182" s="104"/>
      <c r="N182" s="52"/>
      <c r="O182" s="52"/>
    </row>
  </sheetData>
  <mergeCells count="56">
    <mergeCell ref="C2:G2"/>
    <mergeCell ref="C14:G14"/>
    <mergeCell ref="A21:H21"/>
    <mergeCell ref="A25:A28"/>
    <mergeCell ref="B25:B28"/>
    <mergeCell ref="C25:C28"/>
    <mergeCell ref="D25:G25"/>
    <mergeCell ref="H25:H28"/>
    <mergeCell ref="D26:D28"/>
    <mergeCell ref="E26:E28"/>
    <mergeCell ref="B56:C56"/>
    <mergeCell ref="F26:F28"/>
    <mergeCell ref="G26:G28"/>
    <mergeCell ref="A30:H30"/>
    <mergeCell ref="B36:C36"/>
    <mergeCell ref="A37:H37"/>
    <mergeCell ref="B44:C44"/>
    <mergeCell ref="A45:H45"/>
    <mergeCell ref="B47:C47"/>
    <mergeCell ref="A48:H48"/>
    <mergeCell ref="B50:C50"/>
    <mergeCell ref="A51:H51"/>
    <mergeCell ref="B96:C96"/>
    <mergeCell ref="A57:H57"/>
    <mergeCell ref="B60:C60"/>
    <mergeCell ref="B64:C64"/>
    <mergeCell ref="A66:H66"/>
    <mergeCell ref="B73:C73"/>
    <mergeCell ref="B74:C74"/>
    <mergeCell ref="B75:C75"/>
    <mergeCell ref="A76:H76"/>
    <mergeCell ref="B92:C92"/>
    <mergeCell ref="B93:C93"/>
    <mergeCell ref="A94:H94"/>
    <mergeCell ref="B166:C166"/>
    <mergeCell ref="A97:H97"/>
    <mergeCell ref="B103:C103"/>
    <mergeCell ref="B104:C104"/>
    <mergeCell ref="A105:H105"/>
    <mergeCell ref="B107:C107"/>
    <mergeCell ref="B108:C108"/>
    <mergeCell ref="B109:C109"/>
    <mergeCell ref="A111:H111"/>
    <mergeCell ref="B138:C138"/>
    <mergeCell ref="B163:C163"/>
    <mergeCell ref="B164:C164"/>
    <mergeCell ref="A178:H178"/>
    <mergeCell ref="A179:H179"/>
    <mergeCell ref="A181:H181"/>
    <mergeCell ref="A182:H182"/>
    <mergeCell ref="A167:C167"/>
    <mergeCell ref="B168:C168"/>
    <mergeCell ref="B169:C169"/>
    <mergeCell ref="B170:C170"/>
    <mergeCell ref="A174:H174"/>
    <mergeCell ref="A175:H175"/>
  </mergeCells>
  <printOptions gridLines="1"/>
  <pageMargins left="0.42013888888888901" right="0.25" top="0.3" bottom="0.3" header="0.51180555555555496" footer="0.51180555555555496"/>
  <pageSetup paperSize="9" scale="4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18</vt:i4>
      </vt:variant>
    </vt:vector>
  </HeadingPairs>
  <TitlesOfParts>
    <vt:vector size="29" baseType="lpstr">
      <vt:lpstr>График</vt:lpstr>
      <vt:lpstr>ПЗ</vt:lpstr>
      <vt:lpstr>НМЦ</vt:lpstr>
      <vt:lpstr>Протокол НМЦК</vt:lpstr>
      <vt:lpstr>Проект сметы контракта</vt:lpstr>
      <vt:lpstr>ВОР</vt:lpstr>
      <vt:lpstr>НМЦК</vt:lpstr>
      <vt:lpstr>Затраты подрядчика</vt:lpstr>
      <vt:lpstr>Сводный сметный расчет</vt:lpstr>
      <vt:lpstr>Противоэроз защита</vt:lpstr>
      <vt:lpstr>Затраты подр с учетом корректир</vt:lpstr>
      <vt:lpstr>'Затраты подр с учетом корректир'!Excel_BuiltIn_Print_Titles</vt:lpstr>
      <vt:lpstr>'Затраты подрядчика'!Excel_BuiltIn_Print_Titles</vt:lpstr>
      <vt:lpstr>'Сводный сметный расчет'!Excel_BuiltIn_Print_Titles</vt:lpstr>
      <vt:lpstr>'Затраты подр с учетом корректир'!Print_Titles</vt:lpstr>
      <vt:lpstr>'Затраты подрядчика'!Print_Titles</vt:lpstr>
      <vt:lpstr>'Сводный сметный расчет'!Print_Titles</vt:lpstr>
      <vt:lpstr>'Затраты подр с учетом корректир'!Заголовки_для_печати</vt:lpstr>
      <vt:lpstr>'Затраты подрядчика'!Заголовки_для_печати</vt:lpstr>
      <vt:lpstr>НМЦК!Заголовки_для_печати</vt:lpstr>
      <vt:lpstr>'Проект сметы контракта'!Заголовки_для_печати</vt:lpstr>
      <vt:lpstr>'Сводный сметный расчет'!Заголовки_для_печати</vt:lpstr>
      <vt:lpstr>ВОР!Область_печати</vt:lpstr>
      <vt:lpstr>График!Область_печати</vt:lpstr>
      <vt:lpstr>НМЦ!Область_печати</vt:lpstr>
      <vt:lpstr>НМЦК!Область_печати</vt:lpstr>
      <vt:lpstr>ПЗ!Область_печати</vt:lpstr>
      <vt:lpstr>'Проект сметы контракта'!Область_печати</vt:lpstr>
      <vt:lpstr>'Протокол НМЦК'!Область_печати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smx24</dc:creator>
  <cp:lastModifiedBy>Будников Василий Геннадьевич</cp:lastModifiedBy>
  <cp:lastPrinted>2021-11-16T08:37:50Z</cp:lastPrinted>
  <dcterms:created xsi:type="dcterms:W3CDTF">2020-03-26T18:41:42Z</dcterms:created>
  <dcterms:modified xsi:type="dcterms:W3CDTF">2021-11-16T08:52:22Z</dcterms:modified>
</cp:coreProperties>
</file>