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епартамент торгов\ПРОЦЕДУРЫ\2-1 КОНКУРС в электронной форме\ОКЭФ-07 СМР Эльбрус EL3+EL6 (44-ФЗ)\"/>
    </mc:Choice>
  </mc:AlternateContent>
  <bookViews>
    <workbookView xWindow="-120" yWindow="-120" windowWidth="20580" windowHeight="7965" tabRatio="673" activeTab="2"/>
  </bookViews>
  <sheets>
    <sheet name="ГПР" sheetId="18" r:id="rId1"/>
    <sheet name="ПЗ" sheetId="4" r:id="rId2"/>
    <sheet name="НМЦ" sheetId="14" r:id="rId3"/>
    <sheet name="Протокол НМЦК" sheetId="13" r:id="rId4"/>
    <sheet name="Проект сметы контракта" sheetId="12" r:id="rId5"/>
    <sheet name="Ведомость объемов" sheetId="11" r:id="rId6"/>
    <sheet name="Дефляторы" sheetId="10" r:id="rId7"/>
    <sheet name="Расчет стоимости шеф-монтажа" sheetId="17" state="hidden" r:id="rId8"/>
    <sheet name="НМЦК" sheetId="9" r:id="rId9"/>
    <sheet name="Затраты подрядчика" sheetId="3" r:id="rId10"/>
    <sheet name="ССР EL3" sheetId="2" r:id="rId11"/>
    <sheet name="Дефляторы (черновик)" sheetId="15" state="hidden" r:id="rId12"/>
    <sheet name="Ведомость объемов черновик" sheetId="5" state="hidden" r:id="rId13"/>
    <sheet name="Ведомость объемов (по сметам)" sheetId="6" state="hidden" r:id="rId14"/>
  </sheets>
  <definedNames>
    <definedName name="Print_Titles" localSheetId="9">'Затраты подрядчика'!$26:$26</definedName>
    <definedName name="Print_Titles" localSheetId="10">'ССР EL3'!$26:$26</definedName>
    <definedName name="_xlnm.Print_Titles" localSheetId="9">'Затраты подрядчика'!$26:$26</definedName>
    <definedName name="_xlnm.Print_Titles" localSheetId="10">'ССР EL3'!$26:$26</definedName>
    <definedName name="_xlnm.Print_Area" localSheetId="5">'Ведомость объемов'!$A$1:$K$338</definedName>
    <definedName name="_xlnm.Print_Area" localSheetId="13">'Ведомость объемов (по сметам)'!$A$1:$E$302</definedName>
    <definedName name="_xlnm.Print_Area" localSheetId="12">'Ведомость объемов черновик'!$A$1:$E$326</definedName>
    <definedName name="_xlnm.Print_Area" localSheetId="0">ГПР!$A$1:$U$24</definedName>
    <definedName name="_xlnm.Print_Area" localSheetId="9">'Затраты подрядчика'!$A$1:$M$148</definedName>
    <definedName name="_xlnm.Print_Area" localSheetId="2">НМЦ!$A$1:$F$21</definedName>
    <definedName name="_xlnm.Print_Area" localSheetId="8">НМЦК!$A$1:$K$346</definedName>
    <definedName name="_xlnm.Print_Area" localSheetId="4">'Проект сметы контракта'!$A$1:$G$332</definedName>
    <definedName name="_xlnm.Print_Area" localSheetId="7">'Расчет стоимости шеф-монтажа'!$A$1:$J$12</definedName>
    <definedName name="_xlnm.Print_Area" localSheetId="10">'ССР EL3'!$A$1:$H$111</definedName>
  </definedNames>
  <calcPr calcId="162913" refMode="R1C1" fullPrecision="0"/>
</workbook>
</file>

<file path=xl/calcChain.xml><?xml version="1.0" encoding="utf-8"?>
<calcChain xmlns="http://schemas.openxmlformats.org/spreadsheetml/2006/main">
  <c r="F242" i="9" l="1"/>
  <c r="L87" i="3"/>
  <c r="K62" i="3"/>
  <c r="F270" i="9" l="1"/>
  <c r="K67" i="3"/>
  <c r="D6" i="17"/>
  <c r="K34" i="3" l="1"/>
  <c r="F34" i="3"/>
  <c r="F309" i="9"/>
  <c r="D277" i="10"/>
  <c r="D276" i="10"/>
  <c r="D24" i="10"/>
  <c r="D23" i="10"/>
  <c r="D10" i="10"/>
  <c r="D9" i="10"/>
  <c r="E243" i="10"/>
  <c r="E275" i="10" s="1"/>
  <c r="D243" i="10"/>
  <c r="E22" i="10"/>
  <c r="D22" i="10"/>
  <c r="D275" i="10" s="1"/>
  <c r="E5" i="10"/>
  <c r="D5" i="10"/>
  <c r="E22" i="18"/>
  <c r="E21" i="18"/>
  <c r="E19" i="18"/>
  <c r="E18" i="18"/>
  <c r="E16" i="18"/>
  <c r="E15" i="18"/>
  <c r="E13" i="18"/>
  <c r="E12" i="18"/>
  <c r="E10" i="18"/>
  <c r="E9" i="18"/>
  <c r="E7" i="18"/>
  <c r="G335" i="9" l="1"/>
  <c r="A3" i="17" l="1"/>
  <c r="E26" i="17"/>
  <c r="E25" i="17"/>
  <c r="E23" i="17"/>
  <c r="O21" i="17"/>
  <c r="N21" i="17"/>
  <c r="M21" i="17"/>
  <c r="L21" i="17"/>
  <c r="K21" i="17"/>
  <c r="P18" i="17"/>
  <c r="O18" i="17"/>
  <c r="N18" i="17"/>
  <c r="M18" i="17"/>
  <c r="L18" i="17"/>
  <c r="K18" i="17"/>
  <c r="O13" i="17"/>
  <c r="N13" i="17"/>
  <c r="M13" i="17"/>
  <c r="L13" i="17"/>
  <c r="K13" i="17"/>
  <c r="D13" i="17" l="1"/>
  <c r="F6" i="17"/>
  <c r="D7" i="17"/>
  <c r="D8" i="17" s="1"/>
  <c r="F275" i="10"/>
  <c r="F243" i="10"/>
  <c r="F22" i="10"/>
  <c r="D9" i="17" l="1"/>
  <c r="D10" i="17" s="1"/>
  <c r="F7" i="17"/>
  <c r="F8" i="17" s="1"/>
  <c r="H6" i="17"/>
  <c r="F9" i="17" l="1"/>
  <c r="F10" i="17" s="1"/>
  <c r="H7" i="17"/>
  <c r="H8" i="17" s="1"/>
  <c r="I6" i="17"/>
  <c r="H9" i="17" l="1"/>
  <c r="H10" i="17" s="1"/>
  <c r="I7" i="17"/>
  <c r="I8" i="17" s="1"/>
  <c r="I9" i="17" l="1"/>
  <c r="I10" i="17" s="1"/>
  <c r="D18" i="10"/>
  <c r="G327" i="9" l="1"/>
  <c r="G328" i="9"/>
  <c r="G326" i="9"/>
  <c r="F5" i="10"/>
  <c r="F308" i="9" l="1"/>
  <c r="G34" i="12"/>
  <c r="G36" i="12"/>
  <c r="G39" i="12"/>
  <c r="G40" i="12"/>
  <c r="G56" i="12"/>
  <c r="G57" i="12"/>
  <c r="G72" i="12"/>
  <c r="G80" i="12"/>
  <c r="G88" i="12"/>
  <c r="G151" i="12"/>
  <c r="G181" i="12"/>
  <c r="G233" i="12"/>
  <c r="G257" i="12"/>
  <c r="G258" i="12"/>
  <c r="D17" i="10" l="1"/>
  <c r="D16" i="10"/>
  <c r="D246" i="15"/>
  <c r="D245" i="15"/>
  <c r="D243" i="15"/>
  <c r="E239" i="15"/>
  <c r="F239" i="15" s="1"/>
  <c r="D239" i="15"/>
  <c r="D237" i="15"/>
  <c r="D236" i="15"/>
  <c r="D234" i="15"/>
  <c r="D238" i="15" s="1"/>
  <c r="F230" i="15"/>
  <c r="D228" i="15"/>
  <c r="D227" i="15"/>
  <c r="D225" i="15"/>
  <c r="D221" i="15"/>
  <c r="F221" i="15" s="1"/>
  <c r="F220" i="15"/>
  <c r="D218" i="15"/>
  <c r="D217" i="15"/>
  <c r="D215" i="15"/>
  <c r="D219" i="15" s="1"/>
  <c r="D211" i="15"/>
  <c r="D209" i="15"/>
  <c r="D208" i="15"/>
  <c r="D206" i="15"/>
  <c r="D210" i="15" s="1"/>
  <c r="F202" i="15"/>
  <c r="D200" i="15"/>
  <c r="D199" i="15"/>
  <c r="D197" i="15"/>
  <c r="D201" i="15" s="1"/>
  <c r="F193" i="15"/>
  <c r="D191" i="15"/>
  <c r="D190" i="15"/>
  <c r="D188" i="15"/>
  <c r="D182" i="15"/>
  <c r="D181" i="15"/>
  <c r="D179" i="15"/>
  <c r="D183" i="15" s="1"/>
  <c r="D174" i="15"/>
  <c r="D173" i="15"/>
  <c r="D172" i="15"/>
  <c r="D170" i="15"/>
  <c r="D164" i="15"/>
  <c r="D163" i="15"/>
  <c r="D161" i="15"/>
  <c r="D155" i="15"/>
  <c r="D154" i="15"/>
  <c r="D152" i="15"/>
  <c r="D156" i="15" s="1"/>
  <c r="E148" i="15"/>
  <c r="F148" i="15" s="1"/>
  <c r="D148" i="15"/>
  <c r="D157" i="15" s="1"/>
  <c r="D166" i="15" s="1"/>
  <c r="D175" i="15" s="1"/>
  <c r="D184" i="15" s="1"/>
  <c r="D146" i="15"/>
  <c r="D145" i="15"/>
  <c r="D143" i="15"/>
  <c r="D147" i="15" s="1"/>
  <c r="E139" i="15"/>
  <c r="F139" i="15" s="1"/>
  <c r="D139" i="15"/>
  <c r="D137" i="15"/>
  <c r="D136" i="15"/>
  <c r="D134" i="15"/>
  <c r="D138" i="15" s="1"/>
  <c r="F130" i="15"/>
  <c r="D128" i="15"/>
  <c r="D127" i="15"/>
  <c r="D125" i="15"/>
  <c r="F121" i="15"/>
  <c r="D119" i="15"/>
  <c r="D118" i="15"/>
  <c r="D116" i="15"/>
  <c r="F112" i="15"/>
  <c r="D110" i="15"/>
  <c r="D111" i="15" s="1"/>
  <c r="D109" i="15"/>
  <c r="D107" i="15"/>
  <c r="F103" i="15"/>
  <c r="D102" i="15"/>
  <c r="D101" i="15"/>
  <c r="D100" i="15"/>
  <c r="D98" i="15"/>
  <c r="F94" i="15"/>
  <c r="D92" i="15"/>
  <c r="D91" i="15"/>
  <c r="D89" i="15"/>
  <c r="D93" i="15" s="1"/>
  <c r="F85" i="15"/>
  <c r="D83" i="15"/>
  <c r="D82" i="15"/>
  <c r="D80" i="15"/>
  <c r="D84" i="15" s="1"/>
  <c r="F76" i="15"/>
  <c r="D74" i="15"/>
  <c r="D75" i="15" s="1"/>
  <c r="D73" i="15"/>
  <c r="D71" i="15"/>
  <c r="F67" i="15"/>
  <c r="D65" i="15"/>
  <c r="D64" i="15"/>
  <c r="D62" i="15"/>
  <c r="D66" i="15" s="1"/>
  <c r="F58" i="15"/>
  <c r="D56" i="15"/>
  <c r="D55" i="15"/>
  <c r="D53" i="15"/>
  <c r="D57" i="15" s="1"/>
  <c r="F49" i="15"/>
  <c r="D47" i="15"/>
  <c r="D46" i="15"/>
  <c r="D44" i="15"/>
  <c r="D48" i="15" s="1"/>
  <c r="E40" i="15"/>
  <c r="F40" i="15" s="1"/>
  <c r="D40" i="15"/>
  <c r="D38" i="15"/>
  <c r="D37" i="15"/>
  <c r="D35" i="15"/>
  <c r="D39" i="15" s="1"/>
  <c r="D31" i="15"/>
  <c r="F31" i="15" s="1"/>
  <c r="D29" i="15"/>
  <c r="D28" i="15"/>
  <c r="D26" i="15"/>
  <c r="D22" i="15"/>
  <c r="F22" i="15" s="1"/>
  <c r="E21" i="15"/>
  <c r="E211" i="15" s="1"/>
  <c r="F211" i="15" s="1"/>
  <c r="D19" i="15"/>
  <c r="D16" i="15"/>
  <c r="D12" i="15"/>
  <c r="D11" i="15"/>
  <c r="D13" i="15" s="1"/>
  <c r="E7" i="15"/>
  <c r="D7" i="15"/>
  <c r="E6" i="15"/>
  <c r="D6" i="15"/>
  <c r="H5" i="15"/>
  <c r="D18" i="15" s="1"/>
  <c r="F5" i="15"/>
  <c r="D30" i="15" l="1"/>
  <c r="D192" i="15"/>
  <c r="E157" i="15"/>
  <c r="F6" i="15"/>
  <c r="F7" i="15"/>
  <c r="D120" i="15"/>
  <c r="D247" i="15"/>
  <c r="D17" i="15"/>
  <c r="D20" i="15" s="1"/>
  <c r="D165" i="15"/>
  <c r="D229" i="15"/>
  <c r="D279" i="10"/>
  <c r="D278" i="10"/>
  <c r="D129" i="15"/>
  <c r="D244" i="10"/>
  <c r="D26" i="10"/>
  <c r="D25" i="10"/>
  <c r="D20" i="10"/>
  <c r="D19" i="10"/>
  <c r="F157" i="15"/>
  <c r="F21" i="15"/>
  <c r="E166" i="15"/>
  <c r="D280" i="10" l="1"/>
  <c r="D27" i="10"/>
  <c r="I304" i="9" s="1"/>
  <c r="I326" i="9"/>
  <c r="I328" i="9"/>
  <c r="I327" i="9"/>
  <c r="D21" i="10"/>
  <c r="I13" i="9" s="1"/>
  <c r="I317" i="9"/>
  <c r="I321" i="9"/>
  <c r="I315" i="9"/>
  <c r="I318" i="9"/>
  <c r="I316" i="9"/>
  <c r="I312" i="9"/>
  <c r="I323" i="9"/>
  <c r="I320" i="9"/>
  <c r="I314" i="9"/>
  <c r="I325" i="9"/>
  <c r="I319" i="9"/>
  <c r="I313" i="9"/>
  <c r="I19" i="9"/>
  <c r="I23" i="9"/>
  <c r="I27" i="9"/>
  <c r="I35" i="9"/>
  <c r="I39" i="9"/>
  <c r="I43" i="9"/>
  <c r="I51" i="9"/>
  <c r="I55" i="9"/>
  <c r="I59" i="9"/>
  <c r="I63" i="9"/>
  <c r="I67" i="9"/>
  <c r="I71" i="9"/>
  <c r="I75" i="9"/>
  <c r="I79" i="9"/>
  <c r="I83" i="9"/>
  <c r="I87" i="9"/>
  <c r="I91" i="9"/>
  <c r="I95" i="9"/>
  <c r="I99" i="9"/>
  <c r="I103" i="9"/>
  <c r="I107" i="9"/>
  <c r="I111" i="9"/>
  <c r="I115" i="9"/>
  <c r="I119" i="9"/>
  <c r="I123" i="9"/>
  <c r="I127" i="9"/>
  <c r="I131" i="9"/>
  <c r="I135" i="9"/>
  <c r="I139" i="9"/>
  <c r="I143" i="9"/>
  <c r="I147" i="9"/>
  <c r="I151" i="9"/>
  <c r="I155" i="9"/>
  <c r="I159" i="9"/>
  <c r="I163" i="9"/>
  <c r="I167" i="9"/>
  <c r="I171" i="9"/>
  <c r="I175" i="9"/>
  <c r="I179" i="9"/>
  <c r="I183" i="9"/>
  <c r="I187" i="9"/>
  <c r="I191" i="9"/>
  <c r="I195" i="9"/>
  <c r="I199" i="9"/>
  <c r="I203" i="9"/>
  <c r="I207" i="9"/>
  <c r="I211" i="9"/>
  <c r="I215" i="9"/>
  <c r="I219" i="9"/>
  <c r="I223" i="9"/>
  <c r="I227" i="9"/>
  <c r="I231" i="9"/>
  <c r="I235" i="9"/>
  <c r="I239" i="9"/>
  <c r="I243" i="9"/>
  <c r="I247" i="9"/>
  <c r="I251" i="9"/>
  <c r="I255" i="9"/>
  <c r="I259" i="9"/>
  <c r="I263" i="9"/>
  <c r="I267" i="9"/>
  <c r="I271" i="9"/>
  <c r="I275" i="9"/>
  <c r="I279" i="9"/>
  <c r="I283" i="9"/>
  <c r="I287" i="9"/>
  <c r="I291" i="9"/>
  <c r="I295" i="9"/>
  <c r="I299" i="9"/>
  <c r="I307" i="9"/>
  <c r="I302" i="9"/>
  <c r="I20" i="9"/>
  <c r="I24" i="9"/>
  <c r="I28" i="9"/>
  <c r="I32" i="9"/>
  <c r="I36" i="9"/>
  <c r="I40" i="9"/>
  <c r="I44" i="9"/>
  <c r="I48" i="9"/>
  <c r="I52" i="9"/>
  <c r="I56" i="9"/>
  <c r="I60" i="9"/>
  <c r="I64" i="9"/>
  <c r="I68" i="9"/>
  <c r="I72" i="9"/>
  <c r="I76" i="9"/>
  <c r="I80" i="9"/>
  <c r="I84" i="9"/>
  <c r="I88" i="9"/>
  <c r="I92" i="9"/>
  <c r="I96" i="9"/>
  <c r="I100" i="9"/>
  <c r="I104" i="9"/>
  <c r="I108" i="9"/>
  <c r="I112" i="9"/>
  <c r="I116" i="9"/>
  <c r="I120" i="9"/>
  <c r="I124" i="9"/>
  <c r="I128" i="9"/>
  <c r="I132" i="9"/>
  <c r="I136" i="9"/>
  <c r="I140" i="9"/>
  <c r="I144" i="9"/>
  <c r="I148" i="9"/>
  <c r="I152" i="9"/>
  <c r="I156" i="9"/>
  <c r="I160" i="9"/>
  <c r="I164" i="9"/>
  <c r="I168" i="9"/>
  <c r="I172" i="9"/>
  <c r="I176" i="9"/>
  <c r="I180" i="9"/>
  <c r="I184" i="9"/>
  <c r="I188" i="9"/>
  <c r="I192" i="9"/>
  <c r="I196" i="9"/>
  <c r="I200" i="9"/>
  <c r="I204" i="9"/>
  <c r="I208" i="9"/>
  <c r="I212" i="9"/>
  <c r="I216" i="9"/>
  <c r="I220" i="9"/>
  <c r="I224" i="9"/>
  <c r="I228" i="9"/>
  <c r="I232" i="9"/>
  <c r="I236" i="9"/>
  <c r="I240" i="9"/>
  <c r="I244" i="9"/>
  <c r="I248" i="9"/>
  <c r="I252" i="9"/>
  <c r="I256" i="9"/>
  <c r="I260" i="9"/>
  <c r="I264" i="9"/>
  <c r="I268" i="9"/>
  <c r="I272" i="9"/>
  <c r="I276" i="9"/>
  <c r="I280" i="9"/>
  <c r="I284" i="9"/>
  <c r="I288" i="9"/>
  <c r="I292" i="9"/>
  <c r="I296" i="9"/>
  <c r="I300" i="9"/>
  <c r="I305" i="9"/>
  <c r="I18" i="9"/>
  <c r="I22" i="9"/>
  <c r="I26" i="9"/>
  <c r="I310" i="9"/>
  <c r="I306" i="9"/>
  <c r="I17" i="9"/>
  <c r="I21" i="9"/>
  <c r="I25" i="9"/>
  <c r="I29" i="9"/>
  <c r="I33" i="9"/>
  <c r="I37" i="9"/>
  <c r="I41" i="9"/>
  <c r="I45" i="9"/>
  <c r="I49" i="9"/>
  <c r="I53" i="9"/>
  <c r="I57" i="9"/>
  <c r="I61" i="9"/>
  <c r="I65" i="9"/>
  <c r="I69" i="9"/>
  <c r="I73" i="9"/>
  <c r="I77" i="9"/>
  <c r="I81" i="9"/>
  <c r="I85" i="9"/>
  <c r="I89" i="9"/>
  <c r="I93" i="9"/>
  <c r="I97" i="9"/>
  <c r="I101" i="9"/>
  <c r="I105" i="9"/>
  <c r="I109" i="9"/>
  <c r="I113" i="9"/>
  <c r="I117" i="9"/>
  <c r="I121" i="9"/>
  <c r="I125" i="9"/>
  <c r="I129" i="9"/>
  <c r="I133" i="9"/>
  <c r="I137" i="9"/>
  <c r="I141" i="9"/>
  <c r="I145" i="9"/>
  <c r="I149" i="9"/>
  <c r="I153" i="9"/>
  <c r="I157" i="9"/>
  <c r="I161" i="9"/>
  <c r="I165" i="9"/>
  <c r="I169" i="9"/>
  <c r="I173" i="9"/>
  <c r="I177" i="9"/>
  <c r="I181" i="9"/>
  <c r="I185" i="9"/>
  <c r="I189" i="9"/>
  <c r="I193" i="9"/>
  <c r="I197" i="9"/>
  <c r="I201" i="9"/>
  <c r="I205" i="9"/>
  <c r="I209" i="9"/>
  <c r="I213" i="9"/>
  <c r="I217" i="9"/>
  <c r="I221" i="9"/>
  <c r="I225" i="9"/>
  <c r="I229" i="9"/>
  <c r="I233" i="9"/>
  <c r="I237" i="9"/>
  <c r="I241" i="9"/>
  <c r="I245" i="9"/>
  <c r="I249" i="9"/>
  <c r="I253" i="9"/>
  <c r="I257" i="9"/>
  <c r="I261" i="9"/>
  <c r="I265" i="9"/>
  <c r="I269" i="9"/>
  <c r="I273" i="9"/>
  <c r="I277" i="9"/>
  <c r="I281" i="9"/>
  <c r="I285" i="9"/>
  <c r="I289" i="9"/>
  <c r="I293" i="9"/>
  <c r="I297" i="9"/>
  <c r="I16" i="9"/>
  <c r="I30" i="9"/>
  <c r="I42" i="9"/>
  <c r="I58" i="9"/>
  <c r="I106" i="9"/>
  <c r="I202" i="9"/>
  <c r="I46" i="9"/>
  <c r="I62" i="9"/>
  <c r="I78" i="9"/>
  <c r="I94" i="9"/>
  <c r="I110" i="9"/>
  <c r="I126" i="9"/>
  <c r="I142" i="9"/>
  <c r="I158" i="9"/>
  <c r="I174" i="9"/>
  <c r="I190" i="9"/>
  <c r="I206" i="9"/>
  <c r="I222" i="9"/>
  <c r="I238" i="9"/>
  <c r="I254" i="9"/>
  <c r="I270" i="9"/>
  <c r="I286" i="9"/>
  <c r="I70" i="9"/>
  <c r="I118" i="9"/>
  <c r="I150" i="9"/>
  <c r="I182" i="9"/>
  <c r="I214" i="9"/>
  <c r="I262" i="9"/>
  <c r="I294" i="9"/>
  <c r="I90" i="9"/>
  <c r="I138" i="9"/>
  <c r="I154" i="9"/>
  <c r="I186" i="9"/>
  <c r="I234" i="9"/>
  <c r="I266" i="9"/>
  <c r="I298" i="9"/>
  <c r="I34" i="9"/>
  <c r="I50" i="9"/>
  <c r="I66" i="9"/>
  <c r="I82" i="9"/>
  <c r="I98" i="9"/>
  <c r="I114" i="9"/>
  <c r="I130" i="9"/>
  <c r="I146" i="9"/>
  <c r="I162" i="9"/>
  <c r="I178" i="9"/>
  <c r="I194" i="9"/>
  <c r="I210" i="9"/>
  <c r="I226" i="9"/>
  <c r="I242" i="9"/>
  <c r="I258" i="9"/>
  <c r="I274" i="9"/>
  <c r="I290" i="9"/>
  <c r="I38" i="9"/>
  <c r="I54" i="9"/>
  <c r="I86" i="9"/>
  <c r="I102" i="9"/>
  <c r="I134" i="9"/>
  <c r="I166" i="9"/>
  <c r="I198" i="9"/>
  <c r="I230" i="9"/>
  <c r="I246" i="9"/>
  <c r="I278" i="9"/>
  <c r="I74" i="9"/>
  <c r="I122" i="9"/>
  <c r="I170" i="9"/>
  <c r="I218" i="9"/>
  <c r="I250" i="9"/>
  <c r="I282" i="9"/>
  <c r="E175" i="15"/>
  <c r="F166" i="15"/>
  <c r="I47" i="9" l="1"/>
  <c r="I31" i="9"/>
  <c r="I12" i="9"/>
  <c r="I14" i="9"/>
  <c r="F175" i="15"/>
  <c r="E184" i="15"/>
  <c r="F184" i="15" s="1"/>
  <c r="E263" i="10" l="1"/>
  <c r="D263" i="10"/>
  <c r="D245" i="10"/>
  <c r="E234" i="10"/>
  <c r="D234" i="10"/>
  <c r="D223" i="10"/>
  <c r="D222" i="10"/>
  <c r="D220" i="10"/>
  <c r="F216" i="10"/>
  <c r="E162" i="10"/>
  <c r="E171" i="10" s="1"/>
  <c r="E180" i="10" s="1"/>
  <c r="E189" i="10" s="1"/>
  <c r="E198" i="10" s="1"/>
  <c r="E207" i="10" s="1"/>
  <c r="D162" i="10"/>
  <c r="D171" i="10" s="1"/>
  <c r="D180" i="10" s="1"/>
  <c r="D189" i="10" s="1"/>
  <c r="D198" i="10" s="1"/>
  <c r="D207" i="10" s="1"/>
  <c r="E63" i="10"/>
  <c r="D63" i="10"/>
  <c r="D54" i="10"/>
  <c r="D45" i="10"/>
  <c r="E7" i="10"/>
  <c r="D7" i="10"/>
  <c r="E6" i="10"/>
  <c r="D6" i="10"/>
  <c r="F7" i="10" l="1"/>
  <c r="F6" i="10"/>
  <c r="D224" i="10"/>
  <c r="H309" i="9" l="1"/>
  <c r="C4" i="13" l="1"/>
  <c r="E300" i="12"/>
  <c r="I298" i="12"/>
  <c r="J298" i="12" s="1"/>
  <c r="I297" i="12"/>
  <c r="J297" i="12" s="1"/>
  <c r="E268" i="12"/>
  <c r="E267" i="12"/>
  <c r="E266" i="12"/>
  <c r="E261" i="12"/>
  <c r="E260" i="12"/>
  <c r="E259" i="12"/>
  <c r="E249" i="12"/>
  <c r="E248" i="12"/>
  <c r="E247" i="12"/>
  <c r="E240" i="12"/>
  <c r="E216" i="12"/>
  <c r="E214" i="12"/>
  <c r="E210" i="12"/>
  <c r="E208" i="12"/>
  <c r="E207" i="12"/>
  <c r="E206" i="12"/>
  <c r="E205" i="12"/>
  <c r="E199" i="12"/>
  <c r="E196" i="12"/>
  <c r="E194" i="12"/>
  <c r="E193" i="12"/>
  <c r="E191" i="12"/>
  <c r="E183" i="12"/>
  <c r="E182" i="12"/>
  <c r="E161" i="12"/>
  <c r="E157" i="12"/>
  <c r="E153" i="12"/>
  <c r="E152" i="12"/>
  <c r="J126" i="12"/>
  <c r="J125" i="12"/>
  <c r="I124" i="12"/>
  <c r="J124" i="12" s="1"/>
  <c r="I123" i="12"/>
  <c r="I122" i="12"/>
  <c r="J122" i="12" s="1"/>
  <c r="I121" i="12"/>
  <c r="J121" i="12" s="1"/>
  <c r="I120" i="12"/>
  <c r="J120" i="12" s="1"/>
  <c r="I119" i="12"/>
  <c r="J119" i="12" s="1"/>
  <c r="I118" i="12"/>
  <c r="I117" i="12"/>
  <c r="J117" i="12" s="1"/>
  <c r="J115" i="12"/>
  <c r="J114" i="12"/>
  <c r="J113" i="12"/>
  <c r="J112" i="12"/>
  <c r="J111" i="12"/>
  <c r="J110" i="12"/>
  <c r="J109" i="12"/>
  <c r="J108" i="12"/>
  <c r="E104" i="12"/>
  <c r="J90" i="12"/>
  <c r="J89" i="12"/>
  <c r="E86" i="12"/>
  <c r="E84" i="12"/>
  <c r="E82" i="12"/>
  <c r="E81" i="12"/>
  <c r="E76" i="12"/>
  <c r="E75" i="12"/>
  <c r="E67" i="12"/>
  <c r="E66" i="12"/>
  <c r="E61" i="12"/>
  <c r="E60" i="12"/>
  <c r="E52" i="12"/>
  <c r="E50" i="12"/>
  <c r="E49" i="12"/>
  <c r="E48" i="12"/>
  <c r="E47" i="12"/>
  <c r="E44" i="12"/>
  <c r="E43" i="12"/>
  <c r="E18" i="12"/>
  <c r="M17" i="12"/>
  <c r="M13" i="12"/>
  <c r="G327" i="11"/>
  <c r="G314" i="11" s="1"/>
  <c r="F313" i="11"/>
  <c r="F312" i="11"/>
  <c r="F293" i="11"/>
  <c r="E293" i="11"/>
  <c r="M291" i="11"/>
  <c r="N291" i="11" s="1"/>
  <c r="F291" i="11"/>
  <c r="M290" i="11"/>
  <c r="N290" i="11" s="1"/>
  <c r="F290" i="11"/>
  <c r="F288" i="11"/>
  <c r="F287" i="11"/>
  <c r="F286" i="11"/>
  <c r="F285" i="11"/>
  <c r="G284" i="11"/>
  <c r="F284" i="11"/>
  <c r="F283" i="11"/>
  <c r="G282" i="11"/>
  <c r="F282" i="11"/>
  <c r="F281" i="11"/>
  <c r="F280" i="11"/>
  <c r="F279" i="11"/>
  <c r="G278" i="11"/>
  <c r="F278" i="11"/>
  <c r="F277" i="11"/>
  <c r="G276" i="11"/>
  <c r="F276" i="11"/>
  <c r="F275" i="11"/>
  <c r="F274" i="11"/>
  <c r="F273" i="11"/>
  <c r="F272" i="11"/>
  <c r="F271" i="11"/>
  <c r="G270" i="11"/>
  <c r="F270" i="11"/>
  <c r="F269" i="11"/>
  <c r="G268" i="11"/>
  <c r="F268" i="11"/>
  <c r="F267" i="11"/>
  <c r="F266" i="11"/>
  <c r="G264" i="11"/>
  <c r="F264" i="11"/>
  <c r="F263" i="11"/>
  <c r="G262" i="11"/>
  <c r="F262" i="11"/>
  <c r="F261" i="11"/>
  <c r="E261" i="11"/>
  <c r="G260" i="11"/>
  <c r="F260" i="11"/>
  <c r="E260" i="11"/>
  <c r="F259" i="11"/>
  <c r="E259" i="11"/>
  <c r="F256" i="11"/>
  <c r="F255" i="11"/>
  <c r="G254" i="11"/>
  <c r="F254" i="11"/>
  <c r="E254" i="11"/>
  <c r="G253" i="11"/>
  <c r="F253" i="11"/>
  <c r="E253" i="11"/>
  <c r="F252" i="11"/>
  <c r="E252" i="11"/>
  <c r="G249" i="11"/>
  <c r="F248" i="11"/>
  <c r="F247" i="11"/>
  <c r="F246" i="11"/>
  <c r="F244" i="11"/>
  <c r="F243" i="11"/>
  <c r="F242" i="11"/>
  <c r="E242" i="11"/>
  <c r="F241" i="11"/>
  <c r="E241" i="11"/>
  <c r="G240" i="11"/>
  <c r="F240" i="11"/>
  <c r="E240" i="11"/>
  <c r="G239" i="11"/>
  <c r="F239" i="11"/>
  <c r="F236" i="11"/>
  <c r="F235" i="11"/>
  <c r="G233" i="11"/>
  <c r="F233" i="11"/>
  <c r="E233" i="11"/>
  <c r="G232" i="11"/>
  <c r="F232" i="11"/>
  <c r="F231" i="11"/>
  <c r="G230" i="11"/>
  <c r="F230" i="11"/>
  <c r="F229" i="11"/>
  <c r="G228" i="11"/>
  <c r="F228" i="11"/>
  <c r="F227" i="11"/>
  <c r="G225" i="11"/>
  <c r="G224" i="11"/>
  <c r="F224" i="11"/>
  <c r="F223" i="11"/>
  <c r="G222" i="11"/>
  <c r="F222" i="11"/>
  <c r="F220" i="11"/>
  <c r="G219" i="11"/>
  <c r="F219" i="11"/>
  <c r="F218" i="11"/>
  <c r="G217" i="11"/>
  <c r="F217" i="11"/>
  <c r="F216" i="11"/>
  <c r="G214" i="11"/>
  <c r="F214" i="11"/>
  <c r="F213" i="11"/>
  <c r="G212" i="11"/>
  <c r="F212" i="11"/>
  <c r="F211" i="11"/>
  <c r="G209" i="11"/>
  <c r="F209" i="11"/>
  <c r="E209" i="11"/>
  <c r="G208" i="11"/>
  <c r="F208" i="11"/>
  <c r="F207" i="11"/>
  <c r="E207" i="11"/>
  <c r="G206" i="11"/>
  <c r="F206" i="11"/>
  <c r="F205" i="11"/>
  <c r="G203" i="11"/>
  <c r="F203" i="11"/>
  <c r="E203" i="11"/>
  <c r="G201" i="11"/>
  <c r="F201" i="11"/>
  <c r="E201" i="11"/>
  <c r="F200" i="11"/>
  <c r="E200" i="11"/>
  <c r="F199" i="11"/>
  <c r="E199" i="11"/>
  <c r="G198" i="11"/>
  <c r="F198" i="11"/>
  <c r="E198" i="11"/>
  <c r="G197" i="11"/>
  <c r="F197" i="11"/>
  <c r="F196" i="11"/>
  <c r="G195" i="11"/>
  <c r="F195" i="11"/>
  <c r="F194" i="11"/>
  <c r="G193" i="11"/>
  <c r="F193" i="11"/>
  <c r="F192" i="11"/>
  <c r="E192" i="11"/>
  <c r="G191" i="11"/>
  <c r="F191" i="11"/>
  <c r="F190" i="11"/>
  <c r="G189" i="11"/>
  <c r="F189" i="11"/>
  <c r="E189" i="11"/>
  <c r="G188" i="11"/>
  <c r="F188" i="11"/>
  <c r="F187" i="11"/>
  <c r="E187" i="11"/>
  <c r="G186" i="11"/>
  <c r="F186" i="11"/>
  <c r="E186" i="11"/>
  <c r="G185" i="11"/>
  <c r="F185" i="11"/>
  <c r="F184" i="11"/>
  <c r="E184" i="11"/>
  <c r="G183" i="11"/>
  <c r="F183" i="11"/>
  <c r="F182" i="11"/>
  <c r="G181" i="11"/>
  <c r="F181" i="11"/>
  <c r="F180" i="11"/>
  <c r="G178" i="11"/>
  <c r="F178" i="11"/>
  <c r="F177" i="11"/>
  <c r="G176" i="11"/>
  <c r="F176" i="11"/>
  <c r="E176" i="11"/>
  <c r="G175" i="11"/>
  <c r="F175" i="11"/>
  <c r="E175" i="11"/>
  <c r="G172" i="11"/>
  <c r="F172" i="11"/>
  <c r="F171" i="11"/>
  <c r="G170" i="11"/>
  <c r="F170" i="11"/>
  <c r="F168" i="11"/>
  <c r="G167" i="11"/>
  <c r="F167" i="11"/>
  <c r="F166" i="11"/>
  <c r="G165" i="11"/>
  <c r="F165" i="11"/>
  <c r="F164" i="11"/>
  <c r="G162" i="11"/>
  <c r="F162" i="11"/>
  <c r="F161" i="11"/>
  <c r="G160" i="11"/>
  <c r="F160" i="11"/>
  <c r="F159" i="11"/>
  <c r="G158" i="11"/>
  <c r="F158" i="11"/>
  <c r="F157" i="11"/>
  <c r="G156" i="11"/>
  <c r="F156" i="11"/>
  <c r="F155" i="11"/>
  <c r="G154" i="11"/>
  <c r="F154" i="11"/>
  <c r="E154" i="11"/>
  <c r="F153" i="11"/>
  <c r="G152" i="11"/>
  <c r="F152" i="11"/>
  <c r="F151" i="11"/>
  <c r="G150" i="11"/>
  <c r="F150" i="11"/>
  <c r="E150" i="11"/>
  <c r="G149" i="11"/>
  <c r="F149" i="11"/>
  <c r="F148" i="11"/>
  <c r="G146" i="11"/>
  <c r="F146" i="11"/>
  <c r="E146" i="11"/>
  <c r="F145" i="11"/>
  <c r="E145" i="11"/>
  <c r="G141" i="11"/>
  <c r="F141" i="11"/>
  <c r="F140" i="11"/>
  <c r="G139" i="11"/>
  <c r="F139" i="11"/>
  <c r="F138" i="11"/>
  <c r="G137" i="11"/>
  <c r="F137" i="11"/>
  <c r="F136" i="11"/>
  <c r="G135" i="11"/>
  <c r="F135" i="11"/>
  <c r="F133" i="11"/>
  <c r="G132" i="11"/>
  <c r="F132" i="11"/>
  <c r="F130" i="11"/>
  <c r="G129" i="11"/>
  <c r="F129" i="11"/>
  <c r="F127" i="11"/>
  <c r="G126" i="11"/>
  <c r="F126" i="11"/>
  <c r="F125" i="11"/>
  <c r="G123" i="11"/>
  <c r="F123" i="11"/>
  <c r="F122" i="11"/>
  <c r="G121" i="11"/>
  <c r="F121" i="11"/>
  <c r="N119" i="11"/>
  <c r="F119" i="11"/>
  <c r="N118" i="11"/>
  <c r="F118" i="11"/>
  <c r="M117" i="11"/>
  <c r="N117" i="11" s="1"/>
  <c r="G117" i="11"/>
  <c r="F117" i="11"/>
  <c r="M116" i="11"/>
  <c r="M115" i="11"/>
  <c r="N115" i="11" s="1"/>
  <c r="G115" i="11"/>
  <c r="F115" i="11"/>
  <c r="M114" i="11"/>
  <c r="N114" i="11" s="1"/>
  <c r="G114" i="11"/>
  <c r="F114" i="11"/>
  <c r="M113" i="11"/>
  <c r="N113" i="11" s="1"/>
  <c r="F113" i="11"/>
  <c r="M112" i="11"/>
  <c r="N112" i="11" s="1"/>
  <c r="F112" i="11"/>
  <c r="M111" i="11"/>
  <c r="M110" i="11"/>
  <c r="N110" i="11" s="1"/>
  <c r="F110" i="11"/>
  <c r="G109" i="11"/>
  <c r="N108" i="11"/>
  <c r="F108" i="11"/>
  <c r="N107" i="11"/>
  <c r="G107" i="11"/>
  <c r="F107" i="11"/>
  <c r="N106" i="11"/>
  <c r="G106" i="11"/>
  <c r="F106" i="11"/>
  <c r="N105" i="11"/>
  <c r="F105" i="11"/>
  <c r="N104" i="11"/>
  <c r="F104" i="11"/>
  <c r="N103" i="11"/>
  <c r="G103" i="11"/>
  <c r="F103" i="11"/>
  <c r="N102" i="11"/>
  <c r="G102" i="11"/>
  <c r="F102" i="11"/>
  <c r="N101" i="11"/>
  <c r="F101" i="11"/>
  <c r="G99" i="11"/>
  <c r="F99" i="11"/>
  <c r="F98" i="11"/>
  <c r="G97" i="11"/>
  <c r="F97" i="11"/>
  <c r="E97" i="11"/>
  <c r="G96" i="11"/>
  <c r="F96" i="11"/>
  <c r="F94" i="11"/>
  <c r="G93" i="11"/>
  <c r="F93" i="11"/>
  <c r="F91" i="11"/>
  <c r="G90" i="11"/>
  <c r="F90" i="11"/>
  <c r="F89" i="11"/>
  <c r="G87" i="11"/>
  <c r="F87" i="11"/>
  <c r="F86" i="11"/>
  <c r="G85" i="11"/>
  <c r="F85" i="11"/>
  <c r="N83" i="11"/>
  <c r="F83" i="11"/>
  <c r="N82" i="11"/>
  <c r="F82" i="11"/>
  <c r="G80" i="11"/>
  <c r="G79" i="11"/>
  <c r="F79" i="11"/>
  <c r="E79" i="11"/>
  <c r="G78" i="11"/>
  <c r="F78" i="11"/>
  <c r="F77" i="11"/>
  <c r="E77" i="11"/>
  <c r="G76" i="11"/>
  <c r="F76" i="11"/>
  <c r="F75" i="11"/>
  <c r="E75" i="11"/>
  <c r="F74" i="11"/>
  <c r="E74" i="11"/>
  <c r="G72" i="11"/>
  <c r="F72" i="11"/>
  <c r="F71" i="11"/>
  <c r="G70" i="11"/>
  <c r="F70" i="11"/>
  <c r="F69" i="11"/>
  <c r="E69" i="11"/>
  <c r="F68" i="11"/>
  <c r="E68" i="11"/>
  <c r="G67" i="11"/>
  <c r="F67" i="11"/>
  <c r="F66" i="11"/>
  <c r="G64" i="11"/>
  <c r="F63" i="11"/>
  <c r="G62" i="11"/>
  <c r="F62" i="11"/>
  <c r="F61" i="11"/>
  <c r="G60" i="11"/>
  <c r="F60" i="11"/>
  <c r="E60" i="11"/>
  <c r="F59" i="11"/>
  <c r="E59" i="11"/>
  <c r="G58" i="11"/>
  <c r="F58" i="11"/>
  <c r="G57" i="11"/>
  <c r="F57" i="11"/>
  <c r="G55" i="11"/>
  <c r="F55" i="11"/>
  <c r="G54" i="11"/>
  <c r="F54" i="11"/>
  <c r="E54" i="11"/>
  <c r="F53" i="11"/>
  <c r="E53" i="11"/>
  <c r="G52" i="11"/>
  <c r="F52" i="11"/>
  <c r="G51" i="11"/>
  <c r="F51" i="11"/>
  <c r="G48" i="11"/>
  <c r="F47" i="11"/>
  <c r="G46" i="11"/>
  <c r="F46" i="11"/>
  <c r="F45" i="11"/>
  <c r="E45" i="11"/>
  <c r="G44" i="11"/>
  <c r="F44" i="11"/>
  <c r="G43" i="11"/>
  <c r="F43" i="11"/>
  <c r="E43" i="11"/>
  <c r="F42" i="11"/>
  <c r="E42" i="11"/>
  <c r="G41" i="11"/>
  <c r="F41" i="11"/>
  <c r="E41" i="11"/>
  <c r="G40" i="11"/>
  <c r="F40" i="11"/>
  <c r="E40" i="11"/>
  <c r="G38" i="11"/>
  <c r="F38" i="11"/>
  <c r="G37" i="11"/>
  <c r="F37" i="11"/>
  <c r="E37" i="11"/>
  <c r="G36" i="11"/>
  <c r="F36" i="11"/>
  <c r="E36" i="11"/>
  <c r="G35" i="11"/>
  <c r="F35" i="11"/>
  <c r="G34" i="11"/>
  <c r="F34" i="11"/>
  <c r="G31" i="11"/>
  <c r="G30" i="11"/>
  <c r="F30" i="11"/>
  <c r="F28" i="11"/>
  <c r="G26" i="11"/>
  <c r="F26" i="11"/>
  <c r="F24" i="11"/>
  <c r="G22" i="11"/>
  <c r="F22" i="11"/>
  <c r="F20" i="11"/>
  <c r="G18" i="11"/>
  <c r="F18" i="11"/>
  <c r="F16" i="11"/>
  <c r="G15" i="11"/>
  <c r="F15" i="11"/>
  <c r="F14" i="11"/>
  <c r="G13" i="11"/>
  <c r="F13" i="11"/>
  <c r="G11" i="11"/>
  <c r="E11" i="11"/>
  <c r="Q10" i="11"/>
  <c r="G8" i="11"/>
  <c r="G7" i="11"/>
  <c r="Q6" i="11"/>
  <c r="D269" i="10"/>
  <c r="D270" i="10"/>
  <c r="D267" i="10"/>
  <c r="F263" i="10"/>
  <c r="D231" i="10"/>
  <c r="F225" i="10"/>
  <c r="D232" i="10"/>
  <c r="D229" i="10"/>
  <c r="D261" i="10"/>
  <c r="D260" i="10"/>
  <c r="D258" i="10"/>
  <c r="D251" i="10"/>
  <c r="D252" i="10"/>
  <c r="D249" i="10"/>
  <c r="D241" i="10"/>
  <c r="D240" i="10"/>
  <c r="D238" i="10"/>
  <c r="D214" i="10"/>
  <c r="D213" i="10"/>
  <c r="D211" i="10"/>
  <c r="D205" i="10"/>
  <c r="D204" i="10"/>
  <c r="D202" i="10"/>
  <c r="D196" i="10"/>
  <c r="D195" i="10"/>
  <c r="D193" i="10"/>
  <c r="D187" i="10"/>
  <c r="D186" i="10"/>
  <c r="D184" i="10"/>
  <c r="D178" i="10"/>
  <c r="D177" i="10"/>
  <c r="D175" i="10"/>
  <c r="D168" i="10"/>
  <c r="D169" i="10"/>
  <c r="D166" i="10"/>
  <c r="D160" i="10"/>
  <c r="D159" i="10"/>
  <c r="D157" i="10"/>
  <c r="D151" i="10"/>
  <c r="D150" i="10"/>
  <c r="D148" i="10"/>
  <c r="D142" i="10"/>
  <c r="D141" i="10"/>
  <c r="D139" i="10"/>
  <c r="D133" i="10"/>
  <c r="D132" i="10"/>
  <c r="D130" i="10"/>
  <c r="D124" i="10"/>
  <c r="D123" i="10"/>
  <c r="D121" i="10"/>
  <c r="D115" i="10"/>
  <c r="D114" i="10"/>
  <c r="D112" i="10"/>
  <c r="D106" i="10"/>
  <c r="D105" i="10"/>
  <c r="D103" i="10"/>
  <c r="D96" i="10"/>
  <c r="D97" i="10"/>
  <c r="D94" i="10"/>
  <c r="D88" i="10"/>
  <c r="D87" i="10"/>
  <c r="D85" i="10"/>
  <c r="D79" i="10"/>
  <c r="D78" i="10"/>
  <c r="D76" i="10"/>
  <c r="D70" i="10"/>
  <c r="D69" i="10"/>
  <c r="D67" i="10"/>
  <c r="D61" i="10"/>
  <c r="D60" i="10"/>
  <c r="D58" i="10"/>
  <c r="D52" i="10"/>
  <c r="D51" i="10"/>
  <c r="D49" i="10"/>
  <c r="H97" i="11" l="1"/>
  <c r="H96" i="11"/>
  <c r="H121" i="11"/>
  <c r="H132" i="11"/>
  <c r="H172" i="11"/>
  <c r="G61" i="11"/>
  <c r="H61" i="11" s="1"/>
  <c r="G63" i="11"/>
  <c r="H63" i="11" s="1"/>
  <c r="G68" i="11"/>
  <c r="G74" i="11"/>
  <c r="G77" i="11"/>
  <c r="H77" i="11" s="1"/>
  <c r="G82" i="11"/>
  <c r="H82" i="11" s="1"/>
  <c r="G86" i="11"/>
  <c r="G89" i="11"/>
  <c r="G91" i="11"/>
  <c r="H91" i="11" s="1"/>
  <c r="G94" i="11"/>
  <c r="G104" i="11"/>
  <c r="G108" i="11"/>
  <c r="G110" i="11"/>
  <c r="H110" i="11" s="1"/>
  <c r="G112" i="11"/>
  <c r="G118" i="11"/>
  <c r="G122" i="11"/>
  <c r="G125" i="11"/>
  <c r="H125" i="11" s="1"/>
  <c r="G127" i="11"/>
  <c r="H127" i="11" s="1"/>
  <c r="G130" i="11"/>
  <c r="G133" i="11"/>
  <c r="G136" i="11"/>
  <c r="H136" i="11" s="1"/>
  <c r="G138" i="11"/>
  <c r="G140" i="11"/>
  <c r="G143" i="11"/>
  <c r="G148" i="11"/>
  <c r="H148" i="11" s="1"/>
  <c r="G155" i="11"/>
  <c r="H155" i="11" s="1"/>
  <c r="G157" i="11"/>
  <c r="G159" i="11"/>
  <c r="H159" i="11" s="1"/>
  <c r="G161" i="11"/>
  <c r="H161" i="11" s="1"/>
  <c r="G164" i="11"/>
  <c r="H164" i="11" s="1"/>
  <c r="G166" i="11"/>
  <c r="G168" i="11"/>
  <c r="G171" i="11"/>
  <c r="G184" i="11"/>
  <c r="G187" i="11"/>
  <c r="H187" i="11" s="1"/>
  <c r="G192" i="11"/>
  <c r="G194" i="11"/>
  <c r="H194" i="11" s="1"/>
  <c r="G196" i="11"/>
  <c r="H196" i="11" s="1"/>
  <c r="G199" i="11"/>
  <c r="G207" i="11"/>
  <c r="G227" i="11"/>
  <c r="H227" i="11" s="1"/>
  <c r="G229" i="11"/>
  <c r="H229" i="11" s="1"/>
  <c r="G231" i="11"/>
  <c r="G236" i="11"/>
  <c r="G256" i="11"/>
  <c r="H256" i="11" s="1"/>
  <c r="G272" i="11"/>
  <c r="H272" i="11" s="1"/>
  <c r="H141" i="11"/>
  <c r="H165" i="11"/>
  <c r="G6" i="11"/>
  <c r="G10" i="11"/>
  <c r="G12" i="11"/>
  <c r="G14" i="11"/>
  <c r="H14" i="11" s="1"/>
  <c r="G16" i="11"/>
  <c r="H16" i="11" s="1"/>
  <c r="G20" i="11"/>
  <c r="H20" i="11" s="1"/>
  <c r="G24" i="11"/>
  <c r="H24" i="11" s="1"/>
  <c r="G28" i="11"/>
  <c r="H28" i="11" s="1"/>
  <c r="G42" i="11"/>
  <c r="H42" i="11" s="1"/>
  <c r="G45" i="11"/>
  <c r="G47" i="11"/>
  <c r="G53" i="11"/>
  <c r="G59" i="11"/>
  <c r="H59" i="11" s="1"/>
  <c r="G66" i="11"/>
  <c r="G69" i="11"/>
  <c r="H69" i="11" s="1"/>
  <c r="G71" i="11"/>
  <c r="H71" i="11" s="1"/>
  <c r="G75" i="11"/>
  <c r="H75" i="11" s="1"/>
  <c r="G83" i="11"/>
  <c r="H83" i="11" s="1"/>
  <c r="G98" i="11"/>
  <c r="G101" i="11"/>
  <c r="H101" i="11" s="1"/>
  <c r="G105" i="11"/>
  <c r="H105" i="11" s="1"/>
  <c r="G113" i="11"/>
  <c r="H113" i="11" s="1"/>
  <c r="G119" i="11"/>
  <c r="G142" i="11"/>
  <c r="G145" i="11"/>
  <c r="H145" i="11" s="1"/>
  <c r="G151" i="11"/>
  <c r="G153" i="11"/>
  <c r="G173" i="11"/>
  <c r="G177" i="11"/>
  <c r="H177" i="11" s="1"/>
  <c r="G180" i="11"/>
  <c r="H180" i="11" s="1"/>
  <c r="G182" i="11"/>
  <c r="G190" i="11"/>
  <c r="G200" i="11"/>
  <c r="H200" i="11" s="1"/>
  <c r="G205" i="11"/>
  <c r="G211" i="11"/>
  <c r="G213" i="11"/>
  <c r="G216" i="11"/>
  <c r="H216" i="11" s="1"/>
  <c r="G218" i="11"/>
  <c r="G220" i="11"/>
  <c r="G223" i="11"/>
  <c r="H223" i="11" s="1"/>
  <c r="G243" i="11"/>
  <c r="H243" i="11" s="1"/>
  <c r="G247" i="11"/>
  <c r="H247" i="11" s="1"/>
  <c r="G259" i="11"/>
  <c r="G266" i="11"/>
  <c r="H266" i="11" s="1"/>
  <c r="G274" i="11"/>
  <c r="H274" i="11" s="1"/>
  <c r="H208" i="11"/>
  <c r="H68" i="11"/>
  <c r="H37" i="11"/>
  <c r="H108" i="11"/>
  <c r="H112" i="11"/>
  <c r="H15" i="11"/>
  <c r="H36" i="11"/>
  <c r="H67" i="11"/>
  <c r="H99" i="11"/>
  <c r="H103" i="11"/>
  <c r="H107" i="11"/>
  <c r="H186" i="11"/>
  <c r="H198" i="11"/>
  <c r="H38" i="11"/>
  <c r="H51" i="11"/>
  <c r="H102" i="11"/>
  <c r="H205" i="11"/>
  <c r="D134" i="10"/>
  <c r="H87" i="11"/>
  <c r="H176" i="11"/>
  <c r="G301" i="11"/>
  <c r="G307" i="11"/>
  <c r="H85" i="11"/>
  <c r="H185" i="11"/>
  <c r="H197" i="11"/>
  <c r="G288" i="11"/>
  <c r="H288" i="11" s="1"/>
  <c r="G291" i="11"/>
  <c r="H291" i="11" s="1"/>
  <c r="G293" i="11"/>
  <c r="H293" i="11" s="1"/>
  <c r="G312" i="11"/>
  <c r="H312" i="11" s="1"/>
  <c r="H260" i="11"/>
  <c r="G299" i="11"/>
  <c r="G317" i="11"/>
  <c r="D206" i="10"/>
  <c r="H40" i="11"/>
  <c r="H122" i="11"/>
  <c r="H166" i="11"/>
  <c r="H254" i="11"/>
  <c r="G286" i="11"/>
  <c r="H286" i="11" s="1"/>
  <c r="G304" i="11"/>
  <c r="H217" i="11"/>
  <c r="H264" i="11"/>
  <c r="G280" i="11"/>
  <c r="H280" i="11" s="1"/>
  <c r="G290" i="11"/>
  <c r="H290" i="11" s="1"/>
  <c r="G292" i="11"/>
  <c r="G309" i="11"/>
  <c r="H150" i="11"/>
  <c r="G296" i="11"/>
  <c r="H54" i="11"/>
  <c r="H76" i="11"/>
  <c r="H78" i="11"/>
  <c r="H79" i="11"/>
  <c r="H114" i="11"/>
  <c r="H34" i="11"/>
  <c r="H47" i="11"/>
  <c r="H126" i="11"/>
  <c r="H168" i="11"/>
  <c r="H191" i="11"/>
  <c r="H192" i="11"/>
  <c r="H203" i="11"/>
  <c r="H233" i="11"/>
  <c r="H22" i="11"/>
  <c r="H26" i="11"/>
  <c r="H46" i="11"/>
  <c r="H86" i="11"/>
  <c r="H94" i="11"/>
  <c r="H117" i="11"/>
  <c r="H123" i="11"/>
  <c r="H139" i="11"/>
  <c r="H181" i="11"/>
  <c r="H190" i="11"/>
  <c r="H195" i="11"/>
  <c r="H219" i="11"/>
  <c r="H231" i="11"/>
  <c r="H278" i="11"/>
  <c r="H89" i="11"/>
  <c r="H152" i="11"/>
  <c r="H157" i="11"/>
  <c r="H170" i="11"/>
  <c r="H60" i="11"/>
  <c r="H72" i="11"/>
  <c r="H137" i="11"/>
  <c r="H224" i="11"/>
  <c r="H212" i="11"/>
  <c r="H41" i="11"/>
  <c r="H53" i="11"/>
  <c r="H55" i="11"/>
  <c r="H57" i="11"/>
  <c r="H58" i="11"/>
  <c r="H70" i="11"/>
  <c r="H130" i="11"/>
  <c r="H135" i="11"/>
  <c r="H153" i="11"/>
  <c r="H183" i="11"/>
  <c r="H184" i="11"/>
  <c r="H240" i="11"/>
  <c r="H74" i="11"/>
  <c r="H106" i="11"/>
  <c r="H167" i="11"/>
  <c r="H178" i="11"/>
  <c r="H193" i="11"/>
  <c r="H43" i="11"/>
  <c r="H201" i="11"/>
  <c r="H30" i="11"/>
  <c r="H44" i="11"/>
  <c r="H62" i="11"/>
  <c r="H90" i="11"/>
  <c r="H93" i="11"/>
  <c r="H98" i="11"/>
  <c r="H115" i="11"/>
  <c r="H118" i="11"/>
  <c r="H133" i="11"/>
  <c r="H151" i="11"/>
  <c r="H156" i="11"/>
  <c r="H158" i="11"/>
  <c r="H171" i="11"/>
  <c r="H189" i="11"/>
  <c r="H199" i="11"/>
  <c r="H207" i="11"/>
  <c r="H211" i="11"/>
  <c r="H213" i="11"/>
  <c r="H214" i="11"/>
  <c r="H222" i="11"/>
  <c r="H13" i="11"/>
  <c r="F12" i="11"/>
  <c r="H45" i="11"/>
  <c r="H66" i="11"/>
  <c r="F64" i="11"/>
  <c r="H52" i="11"/>
  <c r="F48" i="11"/>
  <c r="H35" i="11"/>
  <c r="F31" i="11"/>
  <c r="H18" i="11"/>
  <c r="H175" i="11"/>
  <c r="F173" i="11"/>
  <c r="F225" i="11"/>
  <c r="H228" i="11"/>
  <c r="F80" i="11"/>
  <c r="F109" i="11"/>
  <c r="H129" i="11"/>
  <c r="H138" i="11"/>
  <c r="H149" i="11"/>
  <c r="H160" i="11"/>
  <c r="H188" i="11"/>
  <c r="H270" i="11"/>
  <c r="F311" i="11"/>
  <c r="H104" i="11"/>
  <c r="H119" i="11"/>
  <c r="H140" i="11"/>
  <c r="H146" i="11"/>
  <c r="F143" i="11"/>
  <c r="H154" i="11"/>
  <c r="H162" i="11"/>
  <c r="F265" i="11"/>
  <c r="H282" i="11"/>
  <c r="H182" i="11"/>
  <c r="H206" i="11"/>
  <c r="H209" i="11"/>
  <c r="H218" i="11"/>
  <c r="H230" i="11"/>
  <c r="H268" i="11"/>
  <c r="H276" i="11"/>
  <c r="H284" i="11"/>
  <c r="H220" i="11"/>
  <c r="H232" i="11"/>
  <c r="H262" i="11"/>
  <c r="F249" i="11"/>
  <c r="H236" i="11"/>
  <c r="H239" i="11"/>
  <c r="H259" i="11"/>
  <c r="H253" i="11"/>
  <c r="F289" i="11"/>
  <c r="G319" i="11"/>
  <c r="G315" i="11"/>
  <c r="G313" i="11"/>
  <c r="H313" i="11" s="1"/>
  <c r="G311" i="11"/>
  <c r="G289" i="11"/>
  <c r="G287" i="11"/>
  <c r="H287" i="11" s="1"/>
  <c r="G285" i="11"/>
  <c r="H285" i="11" s="1"/>
  <c r="G283" i="11"/>
  <c r="H283" i="11" s="1"/>
  <c r="G281" i="11"/>
  <c r="H281" i="11" s="1"/>
  <c r="G279" i="11"/>
  <c r="H279" i="11" s="1"/>
  <c r="G277" i="11"/>
  <c r="H277" i="11" s="1"/>
  <c r="G275" i="11"/>
  <c r="H275" i="11" s="1"/>
  <c r="G273" i="11"/>
  <c r="H273" i="11" s="1"/>
  <c r="G271" i="11"/>
  <c r="H271" i="11" s="1"/>
  <c r="G269" i="11"/>
  <c r="H269" i="11" s="1"/>
  <c r="G267" i="11"/>
  <c r="H267" i="11" s="1"/>
  <c r="G265" i="11"/>
  <c r="G263" i="11"/>
  <c r="H263" i="11" s="1"/>
  <c r="G261" i="11"/>
  <c r="H261" i="11" s="1"/>
  <c r="G248" i="11"/>
  <c r="H248" i="11" s="1"/>
  <c r="G246" i="11"/>
  <c r="H246" i="11" s="1"/>
  <c r="G241" i="11"/>
  <c r="H241" i="11" s="1"/>
  <c r="G235" i="11"/>
  <c r="H235" i="11" s="1"/>
  <c r="G310" i="11"/>
  <c r="G308" i="11"/>
  <c r="G306" i="11"/>
  <c r="G302" i="11"/>
  <c r="G300" i="11"/>
  <c r="G298" i="11"/>
  <c r="G294" i="11"/>
  <c r="G255" i="11"/>
  <c r="H255" i="11" s="1"/>
  <c r="G252" i="11"/>
  <c r="H252" i="11" s="1"/>
  <c r="G244" i="11"/>
  <c r="H244" i="11" s="1"/>
  <c r="G242" i="11"/>
  <c r="H242" i="11" s="1"/>
  <c r="D116" i="10"/>
  <c r="D152" i="10"/>
  <c r="D188" i="10"/>
  <c r="D242" i="10"/>
  <c r="D271" i="10"/>
  <c r="D143" i="10"/>
  <c r="D179" i="10"/>
  <c r="D215" i="10"/>
  <c r="D89" i="10"/>
  <c r="D125" i="10"/>
  <c r="D197" i="10"/>
  <c r="D233" i="10"/>
  <c r="D262" i="10"/>
  <c r="D253" i="10"/>
  <c r="D170" i="10"/>
  <c r="D161" i="10"/>
  <c r="D107" i="10"/>
  <c r="D98" i="10"/>
  <c r="D71" i="10"/>
  <c r="D80" i="10"/>
  <c r="D53" i="10"/>
  <c r="D62" i="10"/>
  <c r="J309" i="9" l="1"/>
  <c r="K309" i="9" s="1"/>
  <c r="G310" i="12" s="1"/>
  <c r="F310" i="12" s="1"/>
  <c r="J264" i="9"/>
  <c r="K264" i="9" s="1"/>
  <c r="G265" i="12" s="1"/>
  <c r="F142" i="11"/>
  <c r="I293" i="11"/>
  <c r="J293" i="11" s="1"/>
  <c r="K293" i="11" s="1"/>
  <c r="I294" i="11"/>
  <c r="I298" i="11"/>
  <c r="I302" i="11"/>
  <c r="I141" i="11"/>
  <c r="J141" i="11" s="1"/>
  <c r="K141" i="11" s="1"/>
  <c r="I287" i="11"/>
  <c r="J287" i="11" s="1"/>
  <c r="K287" i="11" s="1"/>
  <c r="I274" i="11"/>
  <c r="J274" i="11" s="1"/>
  <c r="K274" i="11" s="1"/>
  <c r="I271" i="11"/>
  <c r="J271" i="11" s="1"/>
  <c r="K271" i="11" s="1"/>
  <c r="I280" i="11"/>
  <c r="J280" i="11" s="1"/>
  <c r="K280" i="11" s="1"/>
  <c r="I277" i="11"/>
  <c r="J277" i="11" s="1"/>
  <c r="K277" i="11" s="1"/>
  <c r="I286" i="11"/>
  <c r="J286" i="11" s="1"/>
  <c r="K286" i="11" s="1"/>
  <c r="I283" i="11"/>
  <c r="J283" i="11" s="1"/>
  <c r="K283" i="11" s="1"/>
  <c r="I270" i="11"/>
  <c r="J270" i="11" s="1"/>
  <c r="K270" i="11" s="1"/>
  <c r="I267" i="11"/>
  <c r="J267" i="11" s="1"/>
  <c r="K267" i="11" s="1"/>
  <c r="I276" i="11"/>
  <c r="J276" i="11" s="1"/>
  <c r="K276" i="11" s="1"/>
  <c r="I273" i="11"/>
  <c r="J273" i="11" s="1"/>
  <c r="K273" i="11" s="1"/>
  <c r="I282" i="11"/>
  <c r="J282" i="11" s="1"/>
  <c r="K282" i="11" s="1"/>
  <c r="I279" i="11"/>
  <c r="J279" i="11" s="1"/>
  <c r="K279" i="11" s="1"/>
  <c r="I266" i="11"/>
  <c r="J266" i="11" s="1"/>
  <c r="I278" i="11"/>
  <c r="J278" i="11" s="1"/>
  <c r="K278" i="11" s="1"/>
  <c r="I275" i="11"/>
  <c r="J275" i="11" s="1"/>
  <c r="K275" i="11" s="1"/>
  <c r="I284" i="11"/>
  <c r="J284" i="11" s="1"/>
  <c r="K284" i="11" s="1"/>
  <c r="I281" i="11"/>
  <c r="J281" i="11" s="1"/>
  <c r="K281" i="11" s="1"/>
  <c r="I268" i="11"/>
  <c r="J268" i="11" s="1"/>
  <c r="K268" i="11" s="1"/>
  <c r="I265" i="11"/>
  <c r="I285" i="11"/>
  <c r="J285" i="11" s="1"/>
  <c r="K285" i="11" s="1"/>
  <c r="I272" i="11"/>
  <c r="J272" i="11" s="1"/>
  <c r="K272" i="11" s="1"/>
  <c r="I269" i="11"/>
  <c r="J269" i="11" s="1"/>
  <c r="K269" i="11" s="1"/>
  <c r="I288" i="11"/>
  <c r="J288" i="11" s="1"/>
  <c r="K288" i="11" s="1"/>
  <c r="I304" i="11"/>
  <c r="I290" i="11"/>
  <c r="J290" i="11" s="1"/>
  <c r="K290" i="11" s="1"/>
  <c r="I289" i="11"/>
  <c r="I291" i="11"/>
  <c r="J291" i="11" s="1"/>
  <c r="K291" i="11" s="1"/>
  <c r="I296" i="11"/>
  <c r="I317" i="11"/>
  <c r="I217" i="11"/>
  <c r="J217" i="11" s="1"/>
  <c r="K217" i="11" s="1"/>
  <c r="I211" i="11"/>
  <c r="J211" i="11" s="1"/>
  <c r="K211" i="11" s="1"/>
  <c r="I208" i="11"/>
  <c r="J208" i="11" s="1"/>
  <c r="K208" i="11" s="1"/>
  <c r="I200" i="11"/>
  <c r="J200" i="11" s="1"/>
  <c r="K200" i="11" s="1"/>
  <c r="I198" i="11"/>
  <c r="J198" i="11" s="1"/>
  <c r="K198" i="11" s="1"/>
  <c r="I193" i="11"/>
  <c r="J193" i="11" s="1"/>
  <c r="K193" i="11" s="1"/>
  <c r="I186" i="11"/>
  <c r="J186" i="11" s="1"/>
  <c r="K186" i="11" s="1"/>
  <c r="I178" i="11"/>
  <c r="J178" i="11" s="1"/>
  <c r="K178" i="11" s="1"/>
  <c r="I155" i="11"/>
  <c r="J155" i="11" s="1"/>
  <c r="K155" i="11" s="1"/>
  <c r="I150" i="11"/>
  <c r="J150" i="11" s="1"/>
  <c r="K150" i="11" s="1"/>
  <c r="I188" i="11"/>
  <c r="J188" i="11" s="1"/>
  <c r="K188" i="11" s="1"/>
  <c r="I181" i="11"/>
  <c r="J181" i="11" s="1"/>
  <c r="K181" i="11" s="1"/>
  <c r="I172" i="11"/>
  <c r="J172" i="11" s="1"/>
  <c r="K172" i="11" s="1"/>
  <c r="I166" i="11"/>
  <c r="J166" i="11" s="1"/>
  <c r="K166" i="11" s="1"/>
  <c r="I160" i="11"/>
  <c r="J160" i="11" s="1"/>
  <c r="K160" i="11" s="1"/>
  <c r="I219" i="11"/>
  <c r="J219" i="11" s="1"/>
  <c r="K219" i="11" s="1"/>
  <c r="I213" i="11"/>
  <c r="J213" i="11" s="1"/>
  <c r="K213" i="11" s="1"/>
  <c r="I205" i="11"/>
  <c r="J205" i="11" s="1"/>
  <c r="K205" i="11" s="1"/>
  <c r="I195" i="11"/>
  <c r="J195" i="11" s="1"/>
  <c r="K195" i="11" s="1"/>
  <c r="I190" i="11"/>
  <c r="J190" i="11" s="1"/>
  <c r="K190" i="11" s="1"/>
  <c r="I175" i="11"/>
  <c r="J175" i="11" s="1"/>
  <c r="I169" i="11"/>
  <c r="J169" i="11" s="1"/>
  <c r="K169" i="11" s="1"/>
  <c r="I163" i="11"/>
  <c r="J163" i="11" s="1"/>
  <c r="K163" i="11" s="1"/>
  <c r="I157" i="11"/>
  <c r="J157" i="11" s="1"/>
  <c r="K157" i="11" s="1"/>
  <c r="I152" i="11"/>
  <c r="J152" i="11" s="1"/>
  <c r="K152" i="11" s="1"/>
  <c r="I147" i="11"/>
  <c r="J147" i="11" s="1"/>
  <c r="K147" i="11" s="1"/>
  <c r="I222" i="11"/>
  <c r="J222" i="11" s="1"/>
  <c r="K222" i="11" s="1"/>
  <c r="I216" i="11"/>
  <c r="J216" i="11" s="1"/>
  <c r="K216" i="11" s="1"/>
  <c r="I210" i="11"/>
  <c r="J210" i="11" s="1"/>
  <c r="K210" i="11" s="1"/>
  <c r="I207" i="11"/>
  <c r="J207" i="11" s="1"/>
  <c r="K207" i="11" s="1"/>
  <c r="I202" i="11"/>
  <c r="J202" i="11" s="1"/>
  <c r="K202" i="11" s="1"/>
  <c r="I192" i="11"/>
  <c r="J192" i="11" s="1"/>
  <c r="K192" i="11" s="1"/>
  <c r="I183" i="11"/>
  <c r="J183" i="11" s="1"/>
  <c r="K183" i="11" s="1"/>
  <c r="I177" i="11"/>
  <c r="J177" i="11" s="1"/>
  <c r="K177" i="11" s="1"/>
  <c r="I168" i="11"/>
  <c r="J168" i="11" s="1"/>
  <c r="K168" i="11" s="1"/>
  <c r="I162" i="11"/>
  <c r="J162" i="11" s="1"/>
  <c r="K162" i="11" s="1"/>
  <c r="I154" i="11"/>
  <c r="J154" i="11" s="1"/>
  <c r="K154" i="11" s="1"/>
  <c r="I146" i="11"/>
  <c r="J146" i="11" s="1"/>
  <c r="I144" i="11"/>
  <c r="I224" i="11"/>
  <c r="J224" i="11" s="1"/>
  <c r="K224" i="11" s="1"/>
  <c r="I209" i="11"/>
  <c r="J209" i="11" s="1"/>
  <c r="K209" i="11" s="1"/>
  <c r="I201" i="11"/>
  <c r="J201" i="11" s="1"/>
  <c r="K201" i="11" s="1"/>
  <c r="I199" i="11"/>
  <c r="J199" i="11" s="1"/>
  <c r="K199" i="11" s="1"/>
  <c r="I197" i="11"/>
  <c r="J197" i="11" s="1"/>
  <c r="K197" i="11" s="1"/>
  <c r="I187" i="11"/>
  <c r="J187" i="11" s="1"/>
  <c r="K187" i="11" s="1"/>
  <c r="I185" i="11"/>
  <c r="J185" i="11" s="1"/>
  <c r="K185" i="11" s="1"/>
  <c r="I180" i="11"/>
  <c r="J180" i="11" s="1"/>
  <c r="K180" i="11" s="1"/>
  <c r="I171" i="11"/>
  <c r="J171" i="11" s="1"/>
  <c r="K171" i="11" s="1"/>
  <c r="I165" i="11"/>
  <c r="J165" i="11" s="1"/>
  <c r="K165" i="11" s="1"/>
  <c r="I159" i="11"/>
  <c r="J159" i="11" s="1"/>
  <c r="K159" i="11" s="1"/>
  <c r="I149" i="11"/>
  <c r="J149" i="11" s="1"/>
  <c r="K149" i="11" s="1"/>
  <c r="I143" i="11"/>
  <c r="I221" i="11"/>
  <c r="J221" i="11" s="1"/>
  <c r="K221" i="11" s="1"/>
  <c r="I215" i="11"/>
  <c r="J215" i="11" s="1"/>
  <c r="K215" i="11" s="1"/>
  <c r="I204" i="11"/>
  <c r="J204" i="11" s="1"/>
  <c r="K204" i="11" s="1"/>
  <c r="I182" i="11"/>
  <c r="J182" i="11" s="1"/>
  <c r="K182" i="11" s="1"/>
  <c r="I176" i="11"/>
  <c r="J176" i="11" s="1"/>
  <c r="K176" i="11" s="1"/>
  <c r="I174" i="11"/>
  <c r="I167" i="11"/>
  <c r="J167" i="11" s="1"/>
  <c r="K167" i="11" s="1"/>
  <c r="I161" i="11"/>
  <c r="J161" i="11" s="1"/>
  <c r="K161" i="11" s="1"/>
  <c r="I142" i="11"/>
  <c r="I223" i="11"/>
  <c r="J223" i="11" s="1"/>
  <c r="K223" i="11" s="1"/>
  <c r="I220" i="11"/>
  <c r="J220" i="11" s="1"/>
  <c r="K220" i="11" s="1"/>
  <c r="I214" i="11"/>
  <c r="J214" i="11" s="1"/>
  <c r="K214" i="11" s="1"/>
  <c r="I206" i="11"/>
  <c r="J206" i="11" s="1"/>
  <c r="K206" i="11" s="1"/>
  <c r="I203" i="11"/>
  <c r="J203" i="11" s="1"/>
  <c r="K203" i="11" s="1"/>
  <c r="I196" i="11"/>
  <c r="J196" i="11" s="1"/>
  <c r="K196" i="11" s="1"/>
  <c r="I191" i="11"/>
  <c r="J191" i="11" s="1"/>
  <c r="K191" i="11" s="1"/>
  <c r="I184" i="11"/>
  <c r="J184" i="11" s="1"/>
  <c r="K184" i="11" s="1"/>
  <c r="I179" i="11"/>
  <c r="J179" i="11" s="1"/>
  <c r="K179" i="11" s="1"/>
  <c r="I173" i="11"/>
  <c r="I170" i="11"/>
  <c r="J170" i="11" s="1"/>
  <c r="K170" i="11" s="1"/>
  <c r="I164" i="11"/>
  <c r="J164" i="11" s="1"/>
  <c r="K164" i="11" s="1"/>
  <c r="I158" i="11"/>
  <c r="J158" i="11" s="1"/>
  <c r="K158" i="11" s="1"/>
  <c r="I153" i="11"/>
  <c r="J153" i="11" s="1"/>
  <c r="K153" i="11" s="1"/>
  <c r="I148" i="11"/>
  <c r="J148" i="11" s="1"/>
  <c r="K148" i="11" s="1"/>
  <c r="I145" i="11"/>
  <c r="J145" i="11" s="1"/>
  <c r="K145" i="11" s="1"/>
  <c r="I212" i="11"/>
  <c r="J212" i="11" s="1"/>
  <c r="K212" i="11" s="1"/>
  <c r="I189" i="11"/>
  <c r="J189" i="11" s="1"/>
  <c r="K189" i="11" s="1"/>
  <c r="I156" i="11"/>
  <c r="J156" i="11" s="1"/>
  <c r="K156" i="11" s="1"/>
  <c r="I218" i="11"/>
  <c r="J218" i="11" s="1"/>
  <c r="K218" i="11" s="1"/>
  <c r="I194" i="11"/>
  <c r="J194" i="11" s="1"/>
  <c r="K194" i="11" s="1"/>
  <c r="I151" i="11"/>
  <c r="J151" i="11" s="1"/>
  <c r="K151" i="11" s="1"/>
  <c r="I292" i="11"/>
  <c r="I245" i="11"/>
  <c r="J245" i="11" s="1"/>
  <c r="K245" i="11" s="1"/>
  <c r="I239" i="11"/>
  <c r="J239" i="11" s="1"/>
  <c r="K239" i="11" s="1"/>
  <c r="I235" i="11"/>
  <c r="J235" i="11" s="1"/>
  <c r="K235" i="11" s="1"/>
  <c r="I229" i="11"/>
  <c r="J229" i="11" s="1"/>
  <c r="K229" i="11" s="1"/>
  <c r="I248" i="11"/>
  <c r="J248" i="11" s="1"/>
  <c r="K248" i="11" s="1"/>
  <c r="I244" i="11"/>
  <c r="J244" i="11" s="1"/>
  <c r="K244" i="11" s="1"/>
  <c r="I241" i="11"/>
  <c r="J241" i="11" s="1"/>
  <c r="K241" i="11" s="1"/>
  <c r="I226" i="11"/>
  <c r="I234" i="11"/>
  <c r="J234" i="11" s="1"/>
  <c r="K234" i="11" s="1"/>
  <c r="I231" i="11"/>
  <c r="J231" i="11" s="1"/>
  <c r="K231" i="11" s="1"/>
  <c r="I225" i="11"/>
  <c r="I247" i="11"/>
  <c r="J247" i="11" s="1"/>
  <c r="K247" i="11" s="1"/>
  <c r="I243" i="11"/>
  <c r="J243" i="11" s="1"/>
  <c r="K243" i="11" s="1"/>
  <c r="I238" i="11"/>
  <c r="J238" i="11" s="1"/>
  <c r="K238" i="11" s="1"/>
  <c r="I233" i="11"/>
  <c r="J233" i="11" s="1"/>
  <c r="K233" i="11" s="1"/>
  <c r="I228" i="11"/>
  <c r="J228" i="11" s="1"/>
  <c r="K228" i="11" s="1"/>
  <c r="I240" i="11"/>
  <c r="J240" i="11" s="1"/>
  <c r="K240" i="11" s="1"/>
  <c r="I237" i="11"/>
  <c r="J237" i="11" s="1"/>
  <c r="K237" i="11" s="1"/>
  <c r="I246" i="11"/>
  <c r="J246" i="11" s="1"/>
  <c r="K246" i="11" s="1"/>
  <c r="I242" i="11"/>
  <c r="J242" i="11" s="1"/>
  <c r="K242" i="11" s="1"/>
  <c r="I227" i="11"/>
  <c r="J227" i="11" s="1"/>
  <c r="K227" i="11" s="1"/>
  <c r="I232" i="11"/>
  <c r="J232" i="11" s="1"/>
  <c r="K232" i="11" s="1"/>
  <c r="I230" i="11"/>
  <c r="J230" i="11" s="1"/>
  <c r="K230" i="11" s="1"/>
  <c r="I236" i="11"/>
  <c r="J236" i="11" s="1"/>
  <c r="K236" i="11" s="1"/>
  <c r="I57" i="11"/>
  <c r="J57" i="11" s="1"/>
  <c r="K57" i="11" s="1"/>
  <c r="I59" i="11"/>
  <c r="J59" i="11" s="1"/>
  <c r="K59" i="11" s="1"/>
  <c r="I61" i="11"/>
  <c r="J61" i="11" s="1"/>
  <c r="K61" i="11" s="1"/>
  <c r="I51" i="11"/>
  <c r="J51" i="11" s="1"/>
  <c r="K51" i="11" s="1"/>
  <c r="I56" i="11"/>
  <c r="J56" i="11" s="1"/>
  <c r="K56" i="11" s="1"/>
  <c r="I53" i="11"/>
  <c r="J53" i="11" s="1"/>
  <c r="K53" i="11" s="1"/>
  <c r="I63" i="11"/>
  <c r="J63" i="11" s="1"/>
  <c r="K63" i="11" s="1"/>
  <c r="I55" i="11"/>
  <c r="J55" i="11" s="1"/>
  <c r="K55" i="11" s="1"/>
  <c r="I49" i="11"/>
  <c r="I62" i="11"/>
  <c r="J62" i="11" s="1"/>
  <c r="K62" i="11" s="1"/>
  <c r="I54" i="11"/>
  <c r="J54" i="11" s="1"/>
  <c r="K54" i="11" s="1"/>
  <c r="I52" i="11"/>
  <c r="J52" i="11" s="1"/>
  <c r="K52" i="11" s="1"/>
  <c r="I48" i="11"/>
  <c r="I60" i="11"/>
  <c r="J60" i="11" s="1"/>
  <c r="K60" i="11" s="1"/>
  <c r="I50" i="11"/>
  <c r="I58" i="11"/>
  <c r="J58" i="11" s="1"/>
  <c r="K58" i="11" s="1"/>
  <c r="I129" i="11"/>
  <c r="J129" i="11" s="1"/>
  <c r="K129" i="11" s="1"/>
  <c r="I138" i="11"/>
  <c r="J138" i="11" s="1"/>
  <c r="K138" i="11" s="1"/>
  <c r="I132" i="11"/>
  <c r="J132" i="11" s="1"/>
  <c r="K132" i="11" s="1"/>
  <c r="I122" i="11"/>
  <c r="J122" i="11" s="1"/>
  <c r="K122" i="11" s="1"/>
  <c r="I119" i="11"/>
  <c r="J119" i="11" s="1"/>
  <c r="K119" i="11" s="1"/>
  <c r="I117" i="11"/>
  <c r="J117" i="11" s="1"/>
  <c r="K117" i="11" s="1"/>
  <c r="I110" i="11"/>
  <c r="J110" i="11" s="1"/>
  <c r="K110" i="11" s="1"/>
  <c r="I135" i="11"/>
  <c r="J135" i="11" s="1"/>
  <c r="K135" i="11" s="1"/>
  <c r="I125" i="11"/>
  <c r="J125" i="11" s="1"/>
  <c r="K125" i="11" s="1"/>
  <c r="I140" i="11"/>
  <c r="J140" i="11" s="1"/>
  <c r="K140" i="11" s="1"/>
  <c r="I128" i="11"/>
  <c r="J128" i="11" s="1"/>
  <c r="K128" i="11" s="1"/>
  <c r="I114" i="11"/>
  <c r="J114" i="11" s="1"/>
  <c r="K114" i="11" s="1"/>
  <c r="I112" i="11"/>
  <c r="J112" i="11" s="1"/>
  <c r="K112" i="11" s="1"/>
  <c r="I137" i="11"/>
  <c r="J137" i="11" s="1"/>
  <c r="K137" i="11" s="1"/>
  <c r="I131" i="11"/>
  <c r="J131" i="11" s="1"/>
  <c r="K131" i="11" s="1"/>
  <c r="I127" i="11"/>
  <c r="J127" i="11" s="1"/>
  <c r="K127" i="11" s="1"/>
  <c r="I121" i="11"/>
  <c r="J121" i="11" s="1"/>
  <c r="K121" i="11" s="1"/>
  <c r="I109" i="11"/>
  <c r="I139" i="11"/>
  <c r="J139" i="11" s="1"/>
  <c r="K139" i="11" s="1"/>
  <c r="I133" i="11"/>
  <c r="J133" i="11" s="1"/>
  <c r="K133" i="11" s="1"/>
  <c r="I123" i="11"/>
  <c r="J123" i="11" s="1"/>
  <c r="K123" i="11" s="1"/>
  <c r="I136" i="11"/>
  <c r="J136" i="11" s="1"/>
  <c r="K136" i="11" s="1"/>
  <c r="I126" i="11"/>
  <c r="J126" i="11" s="1"/>
  <c r="K126" i="11" s="1"/>
  <c r="I120" i="11"/>
  <c r="J120" i="11" s="1"/>
  <c r="K120" i="11" s="1"/>
  <c r="I115" i="11"/>
  <c r="J115" i="11" s="1"/>
  <c r="K115" i="11" s="1"/>
  <c r="I113" i="11"/>
  <c r="J113" i="11" s="1"/>
  <c r="K113" i="11" s="1"/>
  <c r="I111" i="11"/>
  <c r="J111" i="11" s="1"/>
  <c r="K111" i="11" s="1"/>
  <c r="I116" i="11"/>
  <c r="J116" i="11" s="1"/>
  <c r="K116" i="11" s="1"/>
  <c r="I118" i="11"/>
  <c r="J118" i="11" s="1"/>
  <c r="K118" i="11" s="1"/>
  <c r="I130" i="11"/>
  <c r="J130" i="11" s="1"/>
  <c r="K130" i="11" s="1"/>
  <c r="I134" i="11"/>
  <c r="J134" i="11" s="1"/>
  <c r="K134" i="11" s="1"/>
  <c r="I124" i="11"/>
  <c r="J124" i="11" s="1"/>
  <c r="K124" i="11" s="1"/>
  <c r="I33" i="11"/>
  <c r="I47" i="11"/>
  <c r="J47" i="11" s="1"/>
  <c r="K47" i="11" s="1"/>
  <c r="I32" i="11"/>
  <c r="I42" i="11"/>
  <c r="J42" i="11" s="1"/>
  <c r="K42" i="11" s="1"/>
  <c r="I40" i="11"/>
  <c r="J40" i="11" s="1"/>
  <c r="K40" i="11" s="1"/>
  <c r="I37" i="11"/>
  <c r="J37" i="11" s="1"/>
  <c r="K37" i="11" s="1"/>
  <c r="I35" i="11"/>
  <c r="J35" i="11" s="1"/>
  <c r="I31" i="11"/>
  <c r="I44" i="11"/>
  <c r="J44" i="11" s="1"/>
  <c r="K44" i="11" s="1"/>
  <c r="I46" i="11"/>
  <c r="J46" i="11" s="1"/>
  <c r="K46" i="11" s="1"/>
  <c r="I43" i="11"/>
  <c r="J43" i="11" s="1"/>
  <c r="K43" i="11" s="1"/>
  <c r="I41" i="11"/>
  <c r="J41" i="11" s="1"/>
  <c r="K41" i="11" s="1"/>
  <c r="I39" i="11"/>
  <c r="J39" i="11" s="1"/>
  <c r="K39" i="11" s="1"/>
  <c r="I36" i="11"/>
  <c r="J36" i="11" s="1"/>
  <c r="K36" i="11" s="1"/>
  <c r="I45" i="11"/>
  <c r="J45" i="11" s="1"/>
  <c r="K45" i="11" s="1"/>
  <c r="I38" i="11"/>
  <c r="J38" i="11" s="1"/>
  <c r="K38" i="11" s="1"/>
  <c r="I34" i="11"/>
  <c r="J34" i="11" s="1"/>
  <c r="K34" i="11" s="1"/>
  <c r="I309" i="11"/>
  <c r="I306" i="11"/>
  <c r="I308" i="11"/>
  <c r="I307" i="11"/>
  <c r="I93" i="11"/>
  <c r="J93" i="11" s="1"/>
  <c r="K93" i="11" s="1"/>
  <c r="I81" i="11"/>
  <c r="I96" i="11"/>
  <c r="J96" i="11" s="1"/>
  <c r="K96" i="11" s="1"/>
  <c r="I86" i="11"/>
  <c r="J86" i="11" s="1"/>
  <c r="K86" i="11" s="1"/>
  <c r="I83" i="11"/>
  <c r="J83" i="11" s="1"/>
  <c r="K83" i="11" s="1"/>
  <c r="I80" i="11"/>
  <c r="I98" i="11"/>
  <c r="J98" i="11" s="1"/>
  <c r="K98" i="11" s="1"/>
  <c r="I89" i="11"/>
  <c r="J89" i="11" s="1"/>
  <c r="K89" i="11" s="1"/>
  <c r="I107" i="11"/>
  <c r="J107" i="11" s="1"/>
  <c r="K107" i="11" s="1"/>
  <c r="I105" i="11"/>
  <c r="J105" i="11" s="1"/>
  <c r="K105" i="11" s="1"/>
  <c r="I103" i="11"/>
  <c r="J103" i="11" s="1"/>
  <c r="K103" i="11" s="1"/>
  <c r="I101" i="11"/>
  <c r="J101" i="11" s="1"/>
  <c r="K101" i="11" s="1"/>
  <c r="I92" i="11"/>
  <c r="J92" i="11" s="1"/>
  <c r="K92" i="11" s="1"/>
  <c r="I95" i="11"/>
  <c r="J95" i="11" s="1"/>
  <c r="K95" i="11" s="1"/>
  <c r="I91" i="11"/>
  <c r="J91" i="11" s="1"/>
  <c r="K91" i="11" s="1"/>
  <c r="I85" i="11"/>
  <c r="J85" i="11" s="1"/>
  <c r="K85" i="11" s="1"/>
  <c r="I100" i="11"/>
  <c r="J100" i="11" s="1"/>
  <c r="K100" i="11" s="1"/>
  <c r="I87" i="11"/>
  <c r="J87" i="11" s="1"/>
  <c r="K87" i="11" s="1"/>
  <c r="I108" i="11"/>
  <c r="J108" i="11" s="1"/>
  <c r="K108" i="11" s="1"/>
  <c r="I106" i="11"/>
  <c r="J106" i="11" s="1"/>
  <c r="K106" i="11" s="1"/>
  <c r="I104" i="11"/>
  <c r="J104" i="11" s="1"/>
  <c r="K104" i="11" s="1"/>
  <c r="I102" i="11"/>
  <c r="J102" i="11" s="1"/>
  <c r="K102" i="11" s="1"/>
  <c r="I99" i="11"/>
  <c r="J99" i="11" s="1"/>
  <c r="K99" i="11" s="1"/>
  <c r="I90" i="11"/>
  <c r="J90" i="11" s="1"/>
  <c r="K90" i="11" s="1"/>
  <c r="I84" i="11"/>
  <c r="J84" i="11" s="1"/>
  <c r="K84" i="11" s="1"/>
  <c r="I88" i="11"/>
  <c r="J88" i="11" s="1"/>
  <c r="K88" i="11" s="1"/>
  <c r="I94" i="11"/>
  <c r="J94" i="11" s="1"/>
  <c r="K94" i="11" s="1"/>
  <c r="I82" i="11"/>
  <c r="J82" i="11" s="1"/>
  <c r="K82" i="11" s="1"/>
  <c r="I97" i="11"/>
  <c r="J97" i="11" s="1"/>
  <c r="K97" i="11" s="1"/>
  <c r="I319" i="11"/>
  <c r="I70" i="11"/>
  <c r="J70" i="11" s="1"/>
  <c r="K70" i="11" s="1"/>
  <c r="I75" i="11"/>
  <c r="J75" i="11" s="1"/>
  <c r="K75" i="11" s="1"/>
  <c r="I73" i="11"/>
  <c r="J73" i="11" s="1"/>
  <c r="I65" i="11"/>
  <c r="I77" i="11"/>
  <c r="J77" i="11" s="1"/>
  <c r="K77" i="11" s="1"/>
  <c r="I72" i="11"/>
  <c r="J72" i="11" s="1"/>
  <c r="K72" i="11" s="1"/>
  <c r="I64" i="11"/>
  <c r="I79" i="11"/>
  <c r="J79" i="11" s="1"/>
  <c r="K79" i="11" s="1"/>
  <c r="I69" i="11"/>
  <c r="J69" i="11" s="1"/>
  <c r="K69" i="11" s="1"/>
  <c r="I67" i="11"/>
  <c r="J67" i="11" s="1"/>
  <c r="K67" i="11" s="1"/>
  <c r="I76" i="11"/>
  <c r="J76" i="11" s="1"/>
  <c r="K76" i="11" s="1"/>
  <c r="I66" i="11"/>
  <c r="J66" i="11" s="1"/>
  <c r="I78" i="11"/>
  <c r="J78" i="11" s="1"/>
  <c r="K78" i="11" s="1"/>
  <c r="I68" i="11"/>
  <c r="J68" i="11" s="1"/>
  <c r="K68" i="11" s="1"/>
  <c r="I71" i="11"/>
  <c r="J71" i="11" s="1"/>
  <c r="K71" i="11" s="1"/>
  <c r="I74" i="11"/>
  <c r="J74" i="11" s="1"/>
  <c r="K74" i="11" s="1"/>
  <c r="I264" i="11"/>
  <c r="J264" i="11" s="1"/>
  <c r="K264" i="11" s="1"/>
  <c r="I28" i="11"/>
  <c r="J28" i="11" s="1"/>
  <c r="K28" i="11" s="1"/>
  <c r="I24" i="11"/>
  <c r="J24" i="11" s="1"/>
  <c r="K24" i="11" s="1"/>
  <c r="I20" i="11"/>
  <c r="J20" i="11" s="1"/>
  <c r="K20" i="11" s="1"/>
  <c r="I16" i="11"/>
  <c r="J16" i="11" s="1"/>
  <c r="K16" i="11" s="1"/>
  <c r="I27" i="11"/>
  <c r="J27" i="11" s="1"/>
  <c r="I23" i="11"/>
  <c r="J23" i="11" s="1"/>
  <c r="K23" i="11" s="1"/>
  <c r="I19" i="11"/>
  <c r="J19" i="11" s="1"/>
  <c r="K19" i="11" s="1"/>
  <c r="I15" i="11"/>
  <c r="J15" i="11" s="1"/>
  <c r="K15" i="11" s="1"/>
  <c r="I10" i="11"/>
  <c r="I30" i="11"/>
  <c r="J30" i="11" s="1"/>
  <c r="K30" i="11" s="1"/>
  <c r="I26" i="11"/>
  <c r="J26" i="11" s="1"/>
  <c r="K26" i="11" s="1"/>
  <c r="I22" i="11"/>
  <c r="J22" i="11" s="1"/>
  <c r="K22" i="11" s="1"/>
  <c r="I18" i="11"/>
  <c r="J18" i="11" s="1"/>
  <c r="K18" i="11" s="1"/>
  <c r="I12" i="11"/>
  <c r="I14" i="11"/>
  <c r="J14" i="11" s="1"/>
  <c r="K14" i="11" s="1"/>
  <c r="I11" i="11"/>
  <c r="I29" i="11"/>
  <c r="J29" i="11" s="1"/>
  <c r="I25" i="11"/>
  <c r="J25" i="11" s="1"/>
  <c r="K25" i="11" s="1"/>
  <c r="I21" i="11"/>
  <c r="J21" i="11" s="1"/>
  <c r="K21" i="11" s="1"/>
  <c r="I17" i="11"/>
  <c r="J17" i="11" s="1"/>
  <c r="K17" i="11" s="1"/>
  <c r="I13" i="11"/>
  <c r="J13" i="11" s="1"/>
  <c r="K13" i="11" s="1"/>
  <c r="I314" i="11"/>
  <c r="I311" i="11"/>
  <c r="I313" i="11"/>
  <c r="J313" i="11" s="1"/>
  <c r="K313" i="11" s="1"/>
  <c r="I315" i="11"/>
  <c r="I312" i="11"/>
  <c r="J312" i="11" s="1"/>
  <c r="K312" i="11" s="1"/>
  <c r="I300" i="11"/>
  <c r="I299" i="11"/>
  <c r="I301" i="11"/>
  <c r="J263" i="9"/>
  <c r="K263" i="9" s="1"/>
  <c r="G264" i="12" s="1"/>
  <c r="I261" i="11"/>
  <c r="J261" i="11" s="1"/>
  <c r="K261" i="11" s="1"/>
  <c r="I255" i="11"/>
  <c r="J255" i="11" s="1"/>
  <c r="K255" i="11" s="1"/>
  <c r="I254" i="11"/>
  <c r="J254" i="11" s="1"/>
  <c r="K254" i="11" s="1"/>
  <c r="I252" i="11"/>
  <c r="J252" i="11" s="1"/>
  <c r="I263" i="11"/>
  <c r="J263" i="11" s="1"/>
  <c r="K263" i="11" s="1"/>
  <c r="I260" i="11"/>
  <c r="J260" i="11" s="1"/>
  <c r="K260" i="11" s="1"/>
  <c r="I258" i="11"/>
  <c r="J258" i="11" s="1"/>
  <c r="K258" i="11" s="1"/>
  <c r="I257" i="11"/>
  <c r="J257" i="11" s="1"/>
  <c r="K257" i="11" s="1"/>
  <c r="I253" i="11"/>
  <c r="J253" i="11" s="1"/>
  <c r="K253" i="11" s="1"/>
  <c r="I250" i="11"/>
  <c r="I259" i="11"/>
  <c r="J259" i="11" s="1"/>
  <c r="K259" i="11" s="1"/>
  <c r="I249" i="11"/>
  <c r="I256" i="11"/>
  <c r="J256" i="11" s="1"/>
  <c r="K256" i="11" s="1"/>
  <c r="I262" i="11"/>
  <c r="J262" i="11" s="1"/>
  <c r="K262" i="11" s="1"/>
  <c r="I251" i="11"/>
  <c r="H31" i="11"/>
  <c r="H80" i="11"/>
  <c r="H249" i="11"/>
  <c r="H48" i="11"/>
  <c r="H311" i="11"/>
  <c r="H109" i="11"/>
  <c r="H173" i="11"/>
  <c r="H265" i="11"/>
  <c r="H64" i="11"/>
  <c r="H12" i="11"/>
  <c r="H289" i="11"/>
  <c r="H225" i="11"/>
  <c r="H143" i="11"/>
  <c r="J62" i="9"/>
  <c r="K62" i="9" s="1"/>
  <c r="G63" i="12" s="1"/>
  <c r="J243" i="9"/>
  <c r="K243" i="9" s="1"/>
  <c r="G244" i="12" s="1"/>
  <c r="J251" i="9"/>
  <c r="K251" i="9" s="1"/>
  <c r="G252" i="12" s="1"/>
  <c r="J244" i="9"/>
  <c r="K244" i="9" s="1"/>
  <c r="G245" i="12" s="1"/>
  <c r="J240" i="9"/>
  <c r="K240" i="9" s="1"/>
  <c r="G241" i="12" s="1"/>
  <c r="J45" i="9"/>
  <c r="K45" i="9" s="1"/>
  <c r="G46" i="12" s="1"/>
  <c r="J117" i="9"/>
  <c r="K117" i="9" s="1"/>
  <c r="G118" i="12" s="1"/>
  <c r="J137" i="9"/>
  <c r="K137" i="9" s="1"/>
  <c r="G138" i="12" s="1"/>
  <c r="J140" i="9"/>
  <c r="K140" i="9" s="1"/>
  <c r="G141" i="12" s="1"/>
  <c r="J126" i="9"/>
  <c r="K126" i="9" s="1"/>
  <c r="G127" i="12" s="1"/>
  <c r="J134" i="9"/>
  <c r="K134" i="9" s="1"/>
  <c r="G135" i="12" s="1"/>
  <c r="J122" i="9"/>
  <c r="K122" i="9" s="1"/>
  <c r="G123" i="12" s="1"/>
  <c r="J130" i="9"/>
  <c r="K130" i="9" s="1"/>
  <c r="G131" i="12" s="1"/>
  <c r="J90" i="9"/>
  <c r="K90" i="9" s="1"/>
  <c r="G91" i="12" s="1"/>
  <c r="J94" i="9"/>
  <c r="K94" i="9" s="1"/>
  <c r="G95" i="12" s="1"/>
  <c r="J98" i="9"/>
  <c r="K98" i="9" s="1"/>
  <c r="G99" i="12" s="1"/>
  <c r="J106" i="9"/>
  <c r="K106" i="9" s="1"/>
  <c r="G107" i="12" s="1"/>
  <c r="J101" i="9"/>
  <c r="K101" i="9" s="1"/>
  <c r="G102" i="12" s="1"/>
  <c r="J33" i="9"/>
  <c r="J31" i="9"/>
  <c r="J35" i="9"/>
  <c r="J79" i="9"/>
  <c r="J208" i="9"/>
  <c r="K208" i="9" s="1"/>
  <c r="G209" i="12" s="1"/>
  <c r="J216" i="9"/>
  <c r="K216" i="9" s="1"/>
  <c r="G217" i="12" s="1"/>
  <c r="J210" i="9"/>
  <c r="K210" i="9" s="1"/>
  <c r="G211" i="12" s="1"/>
  <c r="J153" i="9"/>
  <c r="K153" i="9" s="1"/>
  <c r="G154" i="12" s="1"/>
  <c r="J169" i="9"/>
  <c r="K169" i="9" s="1"/>
  <c r="G170" i="12" s="1"/>
  <c r="J185" i="9"/>
  <c r="K185" i="9" s="1"/>
  <c r="G186" i="12" s="1"/>
  <c r="J227" i="9"/>
  <c r="K227" i="9" s="1"/>
  <c r="G228" i="12" s="1"/>
  <c r="J221" i="9"/>
  <c r="K221" i="9" s="1"/>
  <c r="G222" i="12" s="1"/>
  <c r="J175" i="9"/>
  <c r="K175" i="9" s="1"/>
  <c r="G176" i="12" s="1"/>
  <c r="J80" i="11" l="1"/>
  <c r="J48" i="11"/>
  <c r="H142" i="11"/>
  <c r="J64" i="11"/>
  <c r="K289" i="11"/>
  <c r="K48" i="11"/>
  <c r="J289" i="11"/>
  <c r="J31" i="11"/>
  <c r="J143" i="11"/>
  <c r="K80" i="11"/>
  <c r="J173" i="11"/>
  <c r="J311" i="11"/>
  <c r="K146" i="11"/>
  <c r="K143" i="11" s="1"/>
  <c r="J12" i="11"/>
  <c r="J265" i="11"/>
  <c r="K109" i="11"/>
  <c r="J249" i="11"/>
  <c r="K225" i="11"/>
  <c r="K12" i="11"/>
  <c r="J225" i="11"/>
  <c r="K311" i="11"/>
  <c r="K35" i="11"/>
  <c r="K31" i="11" s="1"/>
  <c r="K66" i="11"/>
  <c r="K64" i="11" s="1"/>
  <c r="K266" i="11"/>
  <c r="K265" i="11" s="1"/>
  <c r="K175" i="11"/>
  <c r="K173" i="11" s="1"/>
  <c r="J109" i="11"/>
  <c r="K252" i="11"/>
  <c r="K249" i="11" s="1"/>
  <c r="J142" i="11" l="1"/>
  <c r="K142" i="11"/>
  <c r="F45" i="10"/>
  <c r="F54" i="10"/>
  <c r="F63" i="10"/>
  <c r="F72" i="10"/>
  <c r="F81" i="10"/>
  <c r="F90" i="10"/>
  <c r="F99" i="10"/>
  <c r="F108" i="10"/>
  <c r="F117" i="10"/>
  <c r="F126" i="10"/>
  <c r="F135" i="10"/>
  <c r="F144" i="10"/>
  <c r="F153" i="10"/>
  <c r="F162" i="10"/>
  <c r="F171" i="10"/>
  <c r="F180" i="10"/>
  <c r="F189" i="10"/>
  <c r="F198" i="10"/>
  <c r="F207" i="10"/>
  <c r="F234" i="10"/>
  <c r="F245" i="10"/>
  <c r="F254" i="10"/>
  <c r="G316" i="9"/>
  <c r="F233" i="9"/>
  <c r="I6" i="11" l="1"/>
  <c r="I7" i="11"/>
  <c r="I8" i="11"/>
  <c r="G21" i="9"/>
  <c r="G321" i="9"/>
  <c r="G28" i="9"/>
  <c r="G49" i="9"/>
  <c r="G36" i="9"/>
  <c r="G14" i="9"/>
  <c r="G43" i="9"/>
  <c r="G297" i="9"/>
  <c r="G289" i="9"/>
  <c r="G281" i="9"/>
  <c r="G273" i="9"/>
  <c r="G268" i="9"/>
  <c r="G262" i="9"/>
  <c r="G258" i="9"/>
  <c r="G247" i="9"/>
  <c r="G236" i="9"/>
  <c r="G229" i="9"/>
  <c r="G224" i="9"/>
  <c r="G219" i="9"/>
  <c r="G214" i="9"/>
  <c r="G209" i="9"/>
  <c r="G204" i="9"/>
  <c r="G200" i="9"/>
  <c r="G196" i="9"/>
  <c r="G192" i="9"/>
  <c r="G188" i="9"/>
  <c r="G183" i="9"/>
  <c r="G176" i="9"/>
  <c r="G166" i="9"/>
  <c r="G158" i="9"/>
  <c r="G148" i="9"/>
  <c r="G139" i="9"/>
  <c r="G128" i="9"/>
  <c r="G118" i="9"/>
  <c r="G112" i="9"/>
  <c r="G108" i="9"/>
  <c r="G103" i="9"/>
  <c r="G97" i="9"/>
  <c r="G92" i="9"/>
  <c r="G85" i="9"/>
  <c r="G81" i="9"/>
  <c r="G76" i="9"/>
  <c r="G72" i="9"/>
  <c r="G66" i="9"/>
  <c r="G61" i="9"/>
  <c r="G57" i="9"/>
  <c r="G50" i="9"/>
  <c r="G17" i="9"/>
  <c r="G20" i="9"/>
  <c r="G30" i="9"/>
  <c r="G40" i="9"/>
  <c r="G42" i="9"/>
  <c r="G320" i="9"/>
  <c r="G315" i="9"/>
  <c r="G306" i="9"/>
  <c r="G295" i="9"/>
  <c r="G287" i="9"/>
  <c r="G279" i="9"/>
  <c r="G271" i="9"/>
  <c r="G267" i="9"/>
  <c r="G261" i="9"/>
  <c r="G254" i="9"/>
  <c r="G245" i="9"/>
  <c r="G234" i="9"/>
  <c r="G228" i="9"/>
  <c r="G223" i="9"/>
  <c r="G218" i="9"/>
  <c r="G213" i="9"/>
  <c r="G207" i="9"/>
  <c r="G203" i="9"/>
  <c r="G199" i="9"/>
  <c r="G195" i="9"/>
  <c r="G191" i="9"/>
  <c r="G187" i="9"/>
  <c r="G182" i="9"/>
  <c r="G173" i="9"/>
  <c r="G164" i="9"/>
  <c r="G156" i="9"/>
  <c r="G146" i="9"/>
  <c r="G136" i="9"/>
  <c r="G125" i="9"/>
  <c r="G115" i="9"/>
  <c r="G111" i="9"/>
  <c r="G107" i="9"/>
  <c r="G102" i="9"/>
  <c r="G96" i="9"/>
  <c r="G91" i="9"/>
  <c r="G84" i="9"/>
  <c r="G80" i="9"/>
  <c r="G75" i="9"/>
  <c r="G69" i="9"/>
  <c r="G65" i="9"/>
  <c r="G60" i="9"/>
  <c r="G53" i="9"/>
  <c r="G302" i="9"/>
  <c r="G18" i="9"/>
  <c r="G86" i="9"/>
  <c r="G37" i="9"/>
  <c r="G12" i="9"/>
  <c r="G70" i="9"/>
  <c r="G323" i="9"/>
  <c r="G54" i="9"/>
  <c r="G16" i="9"/>
  <c r="G48" i="9"/>
  <c r="G119" i="9"/>
  <c r="G124" i="9"/>
  <c r="G129" i="9"/>
  <c r="G135" i="9"/>
  <c r="G141" i="9"/>
  <c r="G145" i="9"/>
  <c r="G149" i="9"/>
  <c r="G155" i="9"/>
  <c r="G159" i="9"/>
  <c r="G163" i="9"/>
  <c r="G167" i="9"/>
  <c r="G172" i="9"/>
  <c r="G177" i="9"/>
  <c r="G233" i="9"/>
  <c r="H233" i="9" s="1"/>
  <c r="J233" i="9" s="1"/>
  <c r="K233" i="9" s="1"/>
  <c r="G234" i="12" s="1"/>
  <c r="F234" i="12" s="1"/>
  <c r="G237" i="9"/>
  <c r="G242" i="9"/>
  <c r="G248" i="9"/>
  <c r="G253" i="9"/>
  <c r="G274" i="9"/>
  <c r="G278" i="9"/>
  <c r="G282" i="9"/>
  <c r="G286" i="9"/>
  <c r="G290" i="9"/>
  <c r="G294" i="9"/>
  <c r="G298" i="9"/>
  <c r="G305" i="9"/>
  <c r="G310" i="9"/>
  <c r="G314" i="9"/>
  <c r="G318" i="9"/>
  <c r="G47" i="9"/>
  <c r="G116" i="9"/>
  <c r="G121" i="9"/>
  <c r="G127" i="9"/>
  <c r="G132" i="9"/>
  <c r="G138" i="9"/>
  <c r="G143" i="9"/>
  <c r="G147" i="9"/>
  <c r="G152" i="9"/>
  <c r="G157" i="9"/>
  <c r="G161" i="9"/>
  <c r="G165" i="9"/>
  <c r="G170" i="9"/>
  <c r="G174" i="9"/>
  <c r="G179" i="9"/>
  <c r="G235" i="9"/>
  <c r="G239" i="9"/>
  <c r="G246" i="9"/>
  <c r="G250" i="9"/>
  <c r="G255" i="9"/>
  <c r="G272" i="9"/>
  <c r="G276" i="9"/>
  <c r="G280" i="9"/>
  <c r="G284" i="9"/>
  <c r="G288" i="9"/>
  <c r="G292" i="9"/>
  <c r="G296" i="9"/>
  <c r="G300" i="9"/>
  <c r="G307" i="9"/>
  <c r="G312" i="9"/>
  <c r="G19" i="9"/>
  <c r="G24" i="9"/>
  <c r="G32" i="9"/>
  <c r="G41" i="9"/>
  <c r="G46" i="9"/>
  <c r="G319" i="9"/>
  <c r="G313" i="9"/>
  <c r="G304" i="9"/>
  <c r="G293" i="9"/>
  <c r="G285" i="9"/>
  <c r="G277" i="9"/>
  <c r="G270" i="9"/>
  <c r="G266" i="9"/>
  <c r="G260" i="9"/>
  <c r="G252" i="9"/>
  <c r="G241" i="9"/>
  <c r="G231" i="9"/>
  <c r="G226" i="9"/>
  <c r="G222" i="9"/>
  <c r="G217" i="9"/>
  <c r="G212" i="9"/>
  <c r="G206" i="9"/>
  <c r="G202" i="9"/>
  <c r="G198" i="9"/>
  <c r="G194" i="9"/>
  <c r="G190" i="9"/>
  <c r="G186" i="9"/>
  <c r="G181" i="9"/>
  <c r="G171" i="9"/>
  <c r="G162" i="9"/>
  <c r="G154" i="9"/>
  <c r="G144" i="9"/>
  <c r="G133" i="9"/>
  <c r="G123" i="9"/>
  <c r="G114" i="9"/>
  <c r="G110" i="9"/>
  <c r="G105" i="9"/>
  <c r="G100" i="9"/>
  <c r="G95" i="9"/>
  <c r="G89" i="9"/>
  <c r="G83" i="9"/>
  <c r="G78" i="9"/>
  <c r="G74" i="9"/>
  <c r="G68" i="9"/>
  <c r="G64" i="9"/>
  <c r="G59" i="9"/>
  <c r="G52" i="9"/>
  <c r="G13" i="9"/>
  <c r="G22" i="9"/>
  <c r="G26" i="9"/>
  <c r="G34" i="9"/>
  <c r="G44" i="9"/>
  <c r="G325" i="9"/>
  <c r="G317" i="9"/>
  <c r="G299" i="9"/>
  <c r="G291" i="9"/>
  <c r="G283" i="9"/>
  <c r="G275" i="9"/>
  <c r="G269" i="9"/>
  <c r="G265" i="9"/>
  <c r="G259" i="9"/>
  <c r="G249" i="9"/>
  <c r="G238" i="9"/>
  <c r="G230" i="9"/>
  <c r="G225" i="9"/>
  <c r="G220" i="9"/>
  <c r="G215" i="9"/>
  <c r="G211" i="9"/>
  <c r="G205" i="9"/>
  <c r="G201" i="9"/>
  <c r="G197" i="9"/>
  <c r="G193" i="9"/>
  <c r="G189" i="9"/>
  <c r="G184" i="9"/>
  <c r="G178" i="9"/>
  <c r="G168" i="9"/>
  <c r="G160" i="9"/>
  <c r="G151" i="9"/>
  <c r="G142" i="9"/>
  <c r="G131" i="9"/>
  <c r="G120" i="9"/>
  <c r="G113" i="9"/>
  <c r="G109" i="9"/>
  <c r="G104" i="9"/>
  <c r="G99" i="9"/>
  <c r="G93" i="9"/>
  <c r="G88" i="9"/>
  <c r="G82" i="9"/>
  <c r="G77" i="9"/>
  <c r="G73" i="9"/>
  <c r="G67" i="9"/>
  <c r="G63" i="9"/>
  <c r="G58" i="9"/>
  <c r="G51" i="9"/>
  <c r="H270" i="9" l="1"/>
  <c r="J270" i="9" s="1"/>
  <c r="K270" i="9" s="1"/>
  <c r="G271" i="12" s="1"/>
  <c r="F271" i="12" s="1"/>
  <c r="F97" i="9"/>
  <c r="H97" i="9" s="1"/>
  <c r="J97" i="9" s="1"/>
  <c r="K97" i="9" s="1"/>
  <c r="G98" i="12" s="1"/>
  <c r="F98" i="12" s="1"/>
  <c r="J46" i="3"/>
  <c r="F103" i="9"/>
  <c r="H103" i="9" s="1"/>
  <c r="J103" i="9" s="1"/>
  <c r="K103" i="9" s="1"/>
  <c r="G104" i="12" s="1"/>
  <c r="F104" i="12" s="1"/>
  <c r="I70" i="3"/>
  <c r="F308" i="11" l="1"/>
  <c r="H308" i="11" s="1"/>
  <c r="G145" i="3"/>
  <c r="F145" i="3"/>
  <c r="F278" i="9"/>
  <c r="H278" i="9" s="1"/>
  <c r="J278" i="9" s="1"/>
  <c r="K278" i="9" s="1"/>
  <c r="G279" i="12" s="1"/>
  <c r="F279" i="12" s="1"/>
  <c r="F265" i="9"/>
  <c r="H265" i="9" s="1"/>
  <c r="J265" i="9" s="1"/>
  <c r="K265" i="9" s="1"/>
  <c r="G266" i="12" s="1"/>
  <c r="F266" i="12" s="1"/>
  <c r="F258" i="9"/>
  <c r="H258" i="9" s="1"/>
  <c r="F262" i="9"/>
  <c r="H262" i="9" s="1"/>
  <c r="J262" i="9" s="1"/>
  <c r="K262" i="9" s="1"/>
  <c r="G263" i="12" s="1"/>
  <c r="F263" i="12" s="1"/>
  <c r="F245" i="9"/>
  <c r="H245" i="9" s="1"/>
  <c r="J245" i="9" s="1"/>
  <c r="K245" i="9" s="1"/>
  <c r="G246" i="12" s="1"/>
  <c r="F246" i="12" s="1"/>
  <c r="H242" i="9"/>
  <c r="J242" i="9" s="1"/>
  <c r="K242" i="9" s="1"/>
  <c r="G243" i="12" s="1"/>
  <c r="F243" i="12" s="1"/>
  <c r="F228" i="9"/>
  <c r="H228" i="9" s="1"/>
  <c r="J228" i="9" s="1"/>
  <c r="K228" i="9" s="1"/>
  <c r="G229" i="12" s="1"/>
  <c r="F229" i="12" s="1"/>
  <c r="F225" i="9"/>
  <c r="H225" i="9" s="1"/>
  <c r="J225" i="9" s="1"/>
  <c r="K225" i="9" s="1"/>
  <c r="G226" i="12" s="1"/>
  <c r="F226" i="12" s="1"/>
  <c r="F220" i="9"/>
  <c r="H220" i="9" s="1"/>
  <c r="J220" i="9" s="1"/>
  <c r="K220" i="9" s="1"/>
  <c r="G221" i="12" s="1"/>
  <c r="F221" i="12" s="1"/>
  <c r="F189" i="9"/>
  <c r="H189" i="9" s="1"/>
  <c r="J189" i="9" s="1"/>
  <c r="K189" i="9" s="1"/>
  <c r="G190" i="12" s="1"/>
  <c r="F190" i="12" s="1"/>
  <c r="F176" i="9"/>
  <c r="H176" i="9" s="1"/>
  <c r="J176" i="9" s="1"/>
  <c r="K176" i="9" s="1"/>
  <c r="G177" i="12" s="1"/>
  <c r="F177" i="12" s="1"/>
  <c r="F178" i="9"/>
  <c r="H178" i="9" s="1"/>
  <c r="J178" i="9" s="1"/>
  <c r="K178" i="9" s="1"/>
  <c r="G179" i="12" s="1"/>
  <c r="F179" i="12" s="1"/>
  <c r="F177" i="9"/>
  <c r="H177" i="9" s="1"/>
  <c r="J177" i="9" s="1"/>
  <c r="K177" i="9" s="1"/>
  <c r="G178" i="12" s="1"/>
  <c r="F178" i="12" s="1"/>
  <c r="F171" i="9"/>
  <c r="H171" i="9" s="1"/>
  <c r="J171" i="9" s="1"/>
  <c r="K171" i="9" s="1"/>
  <c r="G172" i="12" s="1"/>
  <c r="F172" i="12" s="1"/>
  <c r="F168" i="9"/>
  <c r="H168" i="9" s="1"/>
  <c r="J168" i="9" s="1"/>
  <c r="K168" i="9" s="1"/>
  <c r="G169" i="12" s="1"/>
  <c r="F169" i="12" s="1"/>
  <c r="F154" i="9"/>
  <c r="H154" i="9" s="1"/>
  <c r="J154" i="9" s="1"/>
  <c r="K154" i="9" s="1"/>
  <c r="G155" i="12" s="1"/>
  <c r="F155" i="12" s="1"/>
  <c r="F138" i="9"/>
  <c r="H138" i="9" s="1"/>
  <c r="J138" i="9" s="1"/>
  <c r="K138" i="9" s="1"/>
  <c r="G139" i="12" s="1"/>
  <c r="F139" i="12" s="1"/>
  <c r="F135" i="9"/>
  <c r="H135" i="9" s="1"/>
  <c r="J135" i="9" s="1"/>
  <c r="K135" i="9" s="1"/>
  <c r="G136" i="12" s="1"/>
  <c r="F136" i="12" s="1"/>
  <c r="F127" i="9"/>
  <c r="H127" i="9" s="1"/>
  <c r="J127" i="9" s="1"/>
  <c r="K127" i="9" s="1"/>
  <c r="G128" i="12" s="1"/>
  <c r="F128" i="12" s="1"/>
  <c r="F99" i="9"/>
  <c r="H99" i="9" s="1"/>
  <c r="J99" i="9" s="1"/>
  <c r="K99" i="9" s="1"/>
  <c r="G100" i="12" s="1"/>
  <c r="F100" i="12" s="1"/>
  <c r="F93" i="9"/>
  <c r="H93" i="9" s="1"/>
  <c r="J93" i="9" s="1"/>
  <c r="K93" i="9" s="1"/>
  <c r="G94" i="12" s="1"/>
  <c r="F94" i="12" s="1"/>
  <c r="F116" i="9"/>
  <c r="H116" i="9" s="1"/>
  <c r="F80" i="9"/>
  <c r="H80" i="9" s="1"/>
  <c r="J80" i="9" s="1"/>
  <c r="K80" i="9" s="1"/>
  <c r="G81" i="12" s="1"/>
  <c r="F81" i="12" s="1"/>
  <c r="F78" i="9"/>
  <c r="H78" i="9" s="1"/>
  <c r="J78" i="9" s="1"/>
  <c r="K78" i="9" s="1"/>
  <c r="G79" i="12" s="1"/>
  <c r="F79" i="12" s="1"/>
  <c r="F52" i="9"/>
  <c r="H52" i="9" s="1"/>
  <c r="J52" i="9" s="1"/>
  <c r="K52" i="9" s="1"/>
  <c r="G53" i="12" s="1"/>
  <c r="F53" i="12" s="1"/>
  <c r="F46" i="9"/>
  <c r="H46" i="9" s="1"/>
  <c r="J46" i="9" s="1"/>
  <c r="K46" i="9" s="1"/>
  <c r="G47" i="12" s="1"/>
  <c r="F47" i="12" s="1"/>
  <c r="F40" i="9"/>
  <c r="H40" i="9" s="1"/>
  <c r="J40" i="9" s="1"/>
  <c r="K40" i="9" s="1"/>
  <c r="G41" i="12" s="1"/>
  <c r="F41" i="12" s="1"/>
  <c r="F74" i="9"/>
  <c r="H74" i="9" s="1"/>
  <c r="J74" i="9" s="1"/>
  <c r="K74" i="9" s="1"/>
  <c r="G75" i="12" s="1"/>
  <c r="F75" i="12" s="1"/>
  <c r="E75" i="9"/>
  <c r="E74" i="9"/>
  <c r="F75" i="9"/>
  <c r="H75" i="9" s="1"/>
  <c r="J75" i="9" s="1"/>
  <c r="K75" i="9" s="1"/>
  <c r="G76" i="12" s="1"/>
  <c r="F76" i="12" s="1"/>
  <c r="F73" i="9"/>
  <c r="H73" i="9" s="1"/>
  <c r="J73" i="9" s="1"/>
  <c r="K73" i="9" s="1"/>
  <c r="G74" i="12" s="1"/>
  <c r="F74" i="12" s="1"/>
  <c r="F43" i="9"/>
  <c r="H43" i="9" s="1"/>
  <c r="J43" i="9" s="1"/>
  <c r="K43" i="9" s="1"/>
  <c r="G44" i="12" s="1"/>
  <c r="F44" i="12" s="1"/>
  <c r="F42" i="9"/>
  <c r="H42" i="9" s="1"/>
  <c r="J42" i="9" s="1"/>
  <c r="K42" i="9" s="1"/>
  <c r="G43" i="12" s="1"/>
  <c r="F43" i="12" s="1"/>
  <c r="E43" i="9"/>
  <c r="E42" i="9"/>
  <c r="F41" i="9"/>
  <c r="H41" i="9" s="1"/>
  <c r="J41" i="9" s="1"/>
  <c r="K41" i="9" s="1"/>
  <c r="G42" i="12" s="1"/>
  <c r="F42" i="12" s="1"/>
  <c r="F66" i="9"/>
  <c r="H66" i="9" s="1"/>
  <c r="J66" i="9" s="1"/>
  <c r="K66" i="9" s="1"/>
  <c r="G67" i="12" s="1"/>
  <c r="F67" i="12" s="1"/>
  <c r="E66" i="9"/>
  <c r="F64" i="9"/>
  <c r="H64" i="9" s="1"/>
  <c r="J64" i="9" s="1"/>
  <c r="K64" i="9" s="1"/>
  <c r="G65" i="12" s="1"/>
  <c r="F65" i="12" s="1"/>
  <c r="F65" i="9"/>
  <c r="H65" i="9" s="1"/>
  <c r="J65" i="9" s="1"/>
  <c r="K65" i="9" s="1"/>
  <c r="G66" i="12" s="1"/>
  <c r="F66" i="12" s="1"/>
  <c r="E65" i="9"/>
  <c r="E60" i="9"/>
  <c r="E59" i="9"/>
  <c r="F60" i="9"/>
  <c r="H60" i="9" s="1"/>
  <c r="J60" i="9" s="1"/>
  <c r="K60" i="9" s="1"/>
  <c r="G61" i="12" s="1"/>
  <c r="F61" i="12" s="1"/>
  <c r="F59" i="9"/>
  <c r="H59" i="9" s="1"/>
  <c r="J59" i="9" s="1"/>
  <c r="K59" i="9" s="1"/>
  <c r="G60" i="12" s="1"/>
  <c r="F60" i="12" s="1"/>
  <c r="F58" i="9"/>
  <c r="H58" i="9" s="1"/>
  <c r="J58" i="9" s="1"/>
  <c r="K58" i="9" s="1"/>
  <c r="G59" i="12" s="1"/>
  <c r="F59" i="12" s="1"/>
  <c r="F22" i="9"/>
  <c r="H22" i="9" s="1"/>
  <c r="F319" i="9"/>
  <c r="H319" i="9" s="1"/>
  <c r="J319" i="9" s="1"/>
  <c r="K319" i="9" s="1"/>
  <c r="G320" i="12" s="1"/>
  <c r="F320" i="12" s="1"/>
  <c r="F318" i="9"/>
  <c r="H318" i="9" s="1"/>
  <c r="F314" i="9"/>
  <c r="H314" i="9" s="1"/>
  <c r="J314" i="9" s="1"/>
  <c r="K314" i="9" s="1"/>
  <c r="G315" i="12" s="1"/>
  <c r="F315" i="12" s="1"/>
  <c r="F230" i="9"/>
  <c r="H230" i="9" s="1"/>
  <c r="J230" i="9" s="1"/>
  <c r="K230" i="9" s="1"/>
  <c r="G231" i="12" s="1"/>
  <c r="F231" i="12" s="1"/>
  <c r="F229" i="9"/>
  <c r="H229" i="9" s="1"/>
  <c r="J229" i="9" s="1"/>
  <c r="K229" i="9" s="1"/>
  <c r="G230" i="12" s="1"/>
  <c r="F230" i="12" s="1"/>
  <c r="F226" i="9"/>
  <c r="H226" i="9" s="1"/>
  <c r="J226" i="9" s="1"/>
  <c r="K226" i="9" s="1"/>
  <c r="G227" i="12" s="1"/>
  <c r="F227" i="12" s="1"/>
  <c r="F224" i="9"/>
  <c r="H224" i="9" s="1"/>
  <c r="J224" i="9" s="1"/>
  <c r="K224" i="9" s="1"/>
  <c r="G225" i="12" s="1"/>
  <c r="F225" i="12" s="1"/>
  <c r="F223" i="9"/>
  <c r="H223" i="9" s="1"/>
  <c r="J223" i="9" s="1"/>
  <c r="K223" i="9" s="1"/>
  <c r="G224" i="12" s="1"/>
  <c r="F224" i="12" s="1"/>
  <c r="F222" i="9"/>
  <c r="H222" i="9" s="1"/>
  <c r="J222" i="9" s="1"/>
  <c r="K222" i="9" s="1"/>
  <c r="G223" i="12" s="1"/>
  <c r="F223" i="12" s="1"/>
  <c r="F219" i="9"/>
  <c r="H219" i="9" s="1"/>
  <c r="J219" i="9" s="1"/>
  <c r="K219" i="9" s="1"/>
  <c r="G220" i="12" s="1"/>
  <c r="F220" i="12" s="1"/>
  <c r="F218" i="9"/>
  <c r="H218" i="9" s="1"/>
  <c r="J218" i="9" s="1"/>
  <c r="K218" i="9" s="1"/>
  <c r="G219" i="12" s="1"/>
  <c r="F219" i="12" s="1"/>
  <c r="F217" i="9"/>
  <c r="H217" i="9" s="1"/>
  <c r="J217" i="9" s="1"/>
  <c r="K217" i="9" s="1"/>
  <c r="G218" i="12" s="1"/>
  <c r="F218" i="12" s="1"/>
  <c r="F215" i="9"/>
  <c r="H215" i="9" s="1"/>
  <c r="J215" i="9" s="1"/>
  <c r="K215" i="9" s="1"/>
  <c r="G216" i="12" s="1"/>
  <c r="F216" i="12" s="1"/>
  <c r="F214" i="9"/>
  <c r="H214" i="9" s="1"/>
  <c r="J214" i="9" s="1"/>
  <c r="K214" i="9" s="1"/>
  <c r="G215" i="12" s="1"/>
  <c r="F215" i="12" s="1"/>
  <c r="F213" i="9"/>
  <c r="H213" i="9" s="1"/>
  <c r="J213" i="9" s="1"/>
  <c r="K213" i="9" s="1"/>
  <c r="G214" i="12" s="1"/>
  <c r="F214" i="12" s="1"/>
  <c r="F212" i="9"/>
  <c r="H212" i="9" s="1"/>
  <c r="J212" i="9" s="1"/>
  <c r="K212" i="9" s="1"/>
  <c r="G213" i="12" s="1"/>
  <c r="F213" i="12" s="1"/>
  <c r="F211" i="9"/>
  <c r="H211" i="9" s="1"/>
  <c r="J211" i="9" s="1"/>
  <c r="K211" i="9" s="1"/>
  <c r="G212" i="12" s="1"/>
  <c r="F212" i="12" s="1"/>
  <c r="F209" i="9"/>
  <c r="H209" i="9" s="1"/>
  <c r="J209" i="9" s="1"/>
  <c r="K209" i="9" s="1"/>
  <c r="G210" i="12" s="1"/>
  <c r="F210" i="12" s="1"/>
  <c r="F207" i="9"/>
  <c r="H207" i="9" s="1"/>
  <c r="J207" i="9" s="1"/>
  <c r="K207" i="9" s="1"/>
  <c r="G208" i="12" s="1"/>
  <c r="F208" i="12" s="1"/>
  <c r="F206" i="9"/>
  <c r="H206" i="9" s="1"/>
  <c r="J206" i="9" s="1"/>
  <c r="K206" i="9" s="1"/>
  <c r="G207" i="12" s="1"/>
  <c r="F207" i="12" s="1"/>
  <c r="F205" i="9"/>
  <c r="H205" i="9" s="1"/>
  <c r="J205" i="9" s="1"/>
  <c r="K205" i="9" s="1"/>
  <c r="G206" i="12" s="1"/>
  <c r="F206" i="12" s="1"/>
  <c r="F204" i="9"/>
  <c r="H204" i="9" s="1"/>
  <c r="J204" i="9" s="1"/>
  <c r="K204" i="9" s="1"/>
  <c r="G205" i="12" s="1"/>
  <c r="F205" i="12" s="1"/>
  <c r="F203" i="9"/>
  <c r="H203" i="9" s="1"/>
  <c r="J203" i="9" s="1"/>
  <c r="K203" i="9" s="1"/>
  <c r="G204" i="12" s="1"/>
  <c r="F204" i="12" s="1"/>
  <c r="F202" i="9"/>
  <c r="H202" i="9" s="1"/>
  <c r="J202" i="9" s="1"/>
  <c r="K202" i="9" s="1"/>
  <c r="G203" i="12" s="1"/>
  <c r="F203" i="12" s="1"/>
  <c r="F201" i="9"/>
  <c r="H201" i="9" s="1"/>
  <c r="J201" i="9" s="1"/>
  <c r="K201" i="9" s="1"/>
  <c r="G202" i="12" s="1"/>
  <c r="F202" i="12" s="1"/>
  <c r="F200" i="9"/>
  <c r="H200" i="9" s="1"/>
  <c r="J200" i="9" s="1"/>
  <c r="K200" i="9" s="1"/>
  <c r="G201" i="12" s="1"/>
  <c r="F201" i="12" s="1"/>
  <c r="F199" i="9"/>
  <c r="H199" i="9" s="1"/>
  <c r="J199" i="9" s="1"/>
  <c r="K199" i="9" s="1"/>
  <c r="G200" i="12" s="1"/>
  <c r="F200" i="12" s="1"/>
  <c r="F198" i="9"/>
  <c r="H198" i="9" s="1"/>
  <c r="J198" i="9" s="1"/>
  <c r="K198" i="9" s="1"/>
  <c r="G199" i="12" s="1"/>
  <c r="F199" i="12" s="1"/>
  <c r="F197" i="9"/>
  <c r="H197" i="9" s="1"/>
  <c r="J197" i="9" s="1"/>
  <c r="K197" i="9" s="1"/>
  <c r="G198" i="12" s="1"/>
  <c r="F198" i="12" s="1"/>
  <c r="F196" i="9"/>
  <c r="H196" i="9" s="1"/>
  <c r="J196" i="9" s="1"/>
  <c r="K196" i="9" s="1"/>
  <c r="G197" i="12" s="1"/>
  <c r="F197" i="12" s="1"/>
  <c r="F195" i="9"/>
  <c r="H195" i="9" s="1"/>
  <c r="J195" i="9" s="1"/>
  <c r="K195" i="9" s="1"/>
  <c r="G196" i="12" s="1"/>
  <c r="F196" i="12" s="1"/>
  <c r="F194" i="9"/>
  <c r="H194" i="9" s="1"/>
  <c r="J194" i="9" s="1"/>
  <c r="K194" i="9" s="1"/>
  <c r="G195" i="12" s="1"/>
  <c r="F195" i="12" s="1"/>
  <c r="F193" i="9"/>
  <c r="H193" i="9" s="1"/>
  <c r="J193" i="9" s="1"/>
  <c r="K193" i="9" s="1"/>
  <c r="G194" i="12" s="1"/>
  <c r="F194" i="12" s="1"/>
  <c r="F192" i="9"/>
  <c r="H192" i="9" s="1"/>
  <c r="J192" i="9" s="1"/>
  <c r="K192" i="9" s="1"/>
  <c r="G193" i="12" s="1"/>
  <c r="F193" i="12" s="1"/>
  <c r="F191" i="9"/>
  <c r="H191" i="9" s="1"/>
  <c r="J191" i="9" s="1"/>
  <c r="K191" i="9" s="1"/>
  <c r="G192" i="12" s="1"/>
  <c r="F192" i="12" s="1"/>
  <c r="F190" i="9"/>
  <c r="H190" i="9" s="1"/>
  <c r="J190" i="9" s="1"/>
  <c r="K190" i="9" s="1"/>
  <c r="G191" i="12" s="1"/>
  <c r="F191" i="12" s="1"/>
  <c r="F186" i="9"/>
  <c r="H186" i="9" s="1"/>
  <c r="J186" i="9" s="1"/>
  <c r="K186" i="9" s="1"/>
  <c r="G187" i="12" s="1"/>
  <c r="F187" i="12" s="1"/>
  <c r="F188" i="9"/>
  <c r="H188" i="9" s="1"/>
  <c r="J188" i="9" s="1"/>
  <c r="K188" i="9" s="1"/>
  <c r="G189" i="12" s="1"/>
  <c r="F189" i="12" s="1"/>
  <c r="F187" i="9"/>
  <c r="H187" i="9" s="1"/>
  <c r="J187" i="9" s="1"/>
  <c r="K187" i="9" s="1"/>
  <c r="G188" i="12" s="1"/>
  <c r="F188" i="12" s="1"/>
  <c r="J308" i="11" l="1"/>
  <c r="K308" i="11" s="1"/>
  <c r="J258" i="9"/>
  <c r="K258" i="9" s="1"/>
  <c r="G259" i="12" s="1"/>
  <c r="F259" i="12" s="1"/>
  <c r="J116" i="9"/>
  <c r="J318" i="9"/>
  <c r="H317" i="9"/>
  <c r="F317" i="9"/>
  <c r="F184" i="9"/>
  <c r="H184" i="9" s="1"/>
  <c r="J184" i="9" s="1"/>
  <c r="K184" i="9" s="1"/>
  <c r="G185" i="12" s="1"/>
  <c r="F185" i="12" s="1"/>
  <c r="F183" i="9"/>
  <c r="H183" i="9" s="1"/>
  <c r="J183" i="9" s="1"/>
  <c r="K183" i="9" s="1"/>
  <c r="G184" i="12" s="1"/>
  <c r="F184" i="12" s="1"/>
  <c r="F182" i="9"/>
  <c r="H182" i="9" s="1"/>
  <c r="J182" i="9" s="1"/>
  <c r="K182" i="9" s="1"/>
  <c r="G183" i="12" s="1"/>
  <c r="F183" i="12" s="1"/>
  <c r="F181" i="9"/>
  <c r="H181" i="9" s="1"/>
  <c r="F299" i="9"/>
  <c r="H299" i="9" s="1"/>
  <c r="J299" i="9" s="1"/>
  <c r="K299" i="9" s="1"/>
  <c r="G300" i="12" s="1"/>
  <c r="F300" i="12" s="1"/>
  <c r="F297" i="9"/>
  <c r="H297" i="9" s="1"/>
  <c r="J297" i="9" s="1"/>
  <c r="K297" i="9" s="1"/>
  <c r="G298" i="12" s="1"/>
  <c r="F298" i="12" s="1"/>
  <c r="F296" i="9"/>
  <c r="H296" i="9" s="1"/>
  <c r="F294" i="9"/>
  <c r="H294" i="9" s="1"/>
  <c r="J294" i="9" s="1"/>
  <c r="K294" i="9" s="1"/>
  <c r="G295" i="12" s="1"/>
  <c r="F295" i="12" s="1"/>
  <c r="F293" i="9"/>
  <c r="H293" i="9" s="1"/>
  <c r="J293" i="9" s="1"/>
  <c r="K293" i="9" s="1"/>
  <c r="G294" i="12" s="1"/>
  <c r="F294" i="12" s="1"/>
  <c r="F292" i="9"/>
  <c r="H292" i="9" s="1"/>
  <c r="J292" i="9" s="1"/>
  <c r="K292" i="9" s="1"/>
  <c r="G293" i="12" s="1"/>
  <c r="F293" i="12" s="1"/>
  <c r="F291" i="9"/>
  <c r="H291" i="9" s="1"/>
  <c r="J291" i="9" s="1"/>
  <c r="K291" i="9" s="1"/>
  <c r="G292" i="12" s="1"/>
  <c r="F292" i="12" s="1"/>
  <c r="F290" i="9"/>
  <c r="H290" i="9" s="1"/>
  <c r="J290" i="9" s="1"/>
  <c r="K290" i="9" s="1"/>
  <c r="G291" i="12" s="1"/>
  <c r="F291" i="12" s="1"/>
  <c r="F289" i="9"/>
  <c r="H289" i="9" s="1"/>
  <c r="J289" i="9" s="1"/>
  <c r="K289" i="9" s="1"/>
  <c r="G290" i="12" s="1"/>
  <c r="F290" i="12" s="1"/>
  <c r="F288" i="9"/>
  <c r="H288" i="9" s="1"/>
  <c r="J288" i="9" s="1"/>
  <c r="K288" i="9" s="1"/>
  <c r="G289" i="12" s="1"/>
  <c r="F289" i="12" s="1"/>
  <c r="F287" i="9"/>
  <c r="H287" i="9" s="1"/>
  <c r="J287" i="9" s="1"/>
  <c r="K287" i="9" s="1"/>
  <c r="G288" i="12" s="1"/>
  <c r="F288" i="12" s="1"/>
  <c r="F286" i="9"/>
  <c r="H286" i="9" s="1"/>
  <c r="J286" i="9" s="1"/>
  <c r="K286" i="9" s="1"/>
  <c r="G287" i="12" s="1"/>
  <c r="F287" i="12" s="1"/>
  <c r="F285" i="9"/>
  <c r="H285" i="9" s="1"/>
  <c r="J285" i="9" s="1"/>
  <c r="K285" i="9" s="1"/>
  <c r="G286" i="12" s="1"/>
  <c r="F286" i="12" s="1"/>
  <c r="F284" i="9"/>
  <c r="H284" i="9" s="1"/>
  <c r="J284" i="9" s="1"/>
  <c r="K284" i="9" s="1"/>
  <c r="G285" i="12" s="1"/>
  <c r="F285" i="12" s="1"/>
  <c r="F283" i="9"/>
  <c r="H283" i="9" s="1"/>
  <c r="J283" i="9" s="1"/>
  <c r="K283" i="9" s="1"/>
  <c r="G284" i="12" s="1"/>
  <c r="F284" i="12" s="1"/>
  <c r="F282" i="9"/>
  <c r="H282" i="9" s="1"/>
  <c r="J282" i="9" s="1"/>
  <c r="K282" i="9" s="1"/>
  <c r="G283" i="12" s="1"/>
  <c r="F283" i="12" s="1"/>
  <c r="F281" i="9"/>
  <c r="H281" i="9" s="1"/>
  <c r="J281" i="9" s="1"/>
  <c r="K281" i="9" s="1"/>
  <c r="G282" i="12" s="1"/>
  <c r="F282" i="12" s="1"/>
  <c r="F280" i="9"/>
  <c r="H280" i="9" s="1"/>
  <c r="J280" i="9" s="1"/>
  <c r="K280" i="9" s="1"/>
  <c r="G281" i="12" s="1"/>
  <c r="F281" i="12" s="1"/>
  <c r="F279" i="9"/>
  <c r="H279" i="9" s="1"/>
  <c r="J279" i="9" s="1"/>
  <c r="K279" i="9" s="1"/>
  <c r="G280" i="12" s="1"/>
  <c r="F280" i="12" s="1"/>
  <c r="F277" i="9"/>
  <c r="H277" i="9" s="1"/>
  <c r="J277" i="9" s="1"/>
  <c r="K277" i="9" s="1"/>
  <c r="G278" i="12" s="1"/>
  <c r="F278" i="12" s="1"/>
  <c r="F276" i="9"/>
  <c r="H276" i="9" s="1"/>
  <c r="J276" i="9" s="1"/>
  <c r="K276" i="9" s="1"/>
  <c r="G277" i="12" s="1"/>
  <c r="F277" i="12" s="1"/>
  <c r="F275" i="9"/>
  <c r="H275" i="9" s="1"/>
  <c r="J275" i="9" s="1"/>
  <c r="K275" i="9" s="1"/>
  <c r="G276" i="12" s="1"/>
  <c r="F276" i="12" s="1"/>
  <c r="F274" i="9"/>
  <c r="H274" i="9" s="1"/>
  <c r="J274" i="9" s="1"/>
  <c r="K274" i="9" s="1"/>
  <c r="G275" i="12" s="1"/>
  <c r="F275" i="12" s="1"/>
  <c r="F273" i="9"/>
  <c r="H273" i="9" s="1"/>
  <c r="J273" i="9" s="1"/>
  <c r="K273" i="9" s="1"/>
  <c r="G274" i="12" s="1"/>
  <c r="F274" i="12" s="1"/>
  <c r="F272" i="9"/>
  <c r="H272" i="9" s="1"/>
  <c r="F269" i="9"/>
  <c r="H269" i="9" s="1"/>
  <c r="J269" i="9" s="1"/>
  <c r="K269" i="9" s="1"/>
  <c r="G270" i="12" s="1"/>
  <c r="F270" i="12" s="1"/>
  <c r="F268" i="9"/>
  <c r="H268" i="9" s="1"/>
  <c r="F267" i="9"/>
  <c r="H267" i="9" s="1"/>
  <c r="J267" i="9" s="1"/>
  <c r="K267" i="9" s="1"/>
  <c r="G268" i="12" s="1"/>
  <c r="F268" i="12" s="1"/>
  <c r="F266" i="9"/>
  <c r="H266" i="9" s="1"/>
  <c r="J266" i="9" s="1"/>
  <c r="K266" i="9" s="1"/>
  <c r="G267" i="12" s="1"/>
  <c r="F267" i="12" s="1"/>
  <c r="F261" i="9"/>
  <c r="H261" i="9" s="1"/>
  <c r="J261" i="9" s="1"/>
  <c r="K261" i="9" s="1"/>
  <c r="G262" i="12" s="1"/>
  <c r="F262" i="12" s="1"/>
  <c r="F260" i="9"/>
  <c r="H260" i="9" s="1"/>
  <c r="J260" i="9" s="1"/>
  <c r="K260" i="9" s="1"/>
  <c r="G261" i="12" s="1"/>
  <c r="F261" i="12" s="1"/>
  <c r="F259" i="9"/>
  <c r="H259" i="9" s="1"/>
  <c r="J259" i="9" s="1"/>
  <c r="K259" i="9" s="1"/>
  <c r="G260" i="12" s="1"/>
  <c r="F260" i="12" s="1"/>
  <c r="F254" i="9"/>
  <c r="H254" i="9" s="1"/>
  <c r="J254" i="9" s="1"/>
  <c r="K254" i="9" s="1"/>
  <c r="G255" i="12" s="1"/>
  <c r="F255" i="12" s="1"/>
  <c r="F253" i="9"/>
  <c r="H253" i="9" s="1"/>
  <c r="J253" i="9" s="1"/>
  <c r="K253" i="9" s="1"/>
  <c r="G254" i="12" s="1"/>
  <c r="F254" i="12" s="1"/>
  <c r="F252" i="9"/>
  <c r="H252" i="9" s="1"/>
  <c r="J252" i="9" s="1"/>
  <c r="K252" i="9" s="1"/>
  <c r="G253" i="12" s="1"/>
  <c r="F253" i="12" s="1"/>
  <c r="F250" i="9"/>
  <c r="H250" i="9" s="1"/>
  <c r="J250" i="9" s="1"/>
  <c r="K250" i="9" s="1"/>
  <c r="G251" i="12" s="1"/>
  <c r="F251" i="12" s="1"/>
  <c r="F249" i="9"/>
  <c r="H249" i="9" s="1"/>
  <c r="J249" i="9" s="1"/>
  <c r="K249" i="9" s="1"/>
  <c r="G250" i="12" s="1"/>
  <c r="F250" i="12" s="1"/>
  <c r="F248" i="9"/>
  <c r="H248" i="9" s="1"/>
  <c r="J248" i="9" s="1"/>
  <c r="K248" i="9" s="1"/>
  <c r="G249" i="12" s="1"/>
  <c r="F249" i="12" s="1"/>
  <c r="F247" i="9"/>
  <c r="H247" i="9" s="1"/>
  <c r="J247" i="9" s="1"/>
  <c r="K247" i="9" s="1"/>
  <c r="G248" i="12" s="1"/>
  <c r="F248" i="12" s="1"/>
  <c r="F246" i="9"/>
  <c r="H246" i="9" s="1"/>
  <c r="J246" i="9" s="1"/>
  <c r="K246" i="9" s="1"/>
  <c r="G247" i="12" s="1"/>
  <c r="F247" i="12" s="1"/>
  <c r="F241" i="9"/>
  <c r="H241" i="9" s="1"/>
  <c r="J241" i="9" s="1"/>
  <c r="K241" i="9" s="1"/>
  <c r="G242" i="12" s="1"/>
  <c r="F242" i="12" s="1"/>
  <c r="F239" i="9"/>
  <c r="H239" i="9" s="1"/>
  <c r="F238" i="9"/>
  <c r="H238" i="9" s="1"/>
  <c r="J238" i="9" s="1"/>
  <c r="K238" i="9" s="1"/>
  <c r="G239" i="12" s="1"/>
  <c r="F239" i="12" s="1"/>
  <c r="F237" i="9"/>
  <c r="H237" i="9" s="1"/>
  <c r="J237" i="9" s="1"/>
  <c r="K237" i="9" s="1"/>
  <c r="G238" i="12" s="1"/>
  <c r="F238" i="12" s="1"/>
  <c r="F236" i="9"/>
  <c r="H236" i="9" s="1"/>
  <c r="J236" i="9" s="1"/>
  <c r="K236" i="9" s="1"/>
  <c r="G237" i="12" s="1"/>
  <c r="F237" i="12" s="1"/>
  <c r="F235" i="9"/>
  <c r="H235" i="9" s="1"/>
  <c r="J235" i="9" s="1"/>
  <c r="K235" i="9" s="1"/>
  <c r="G236" i="12" s="1"/>
  <c r="F236" i="12" s="1"/>
  <c r="F234" i="9"/>
  <c r="H234" i="9" s="1"/>
  <c r="F174" i="9"/>
  <c r="H174" i="9" s="1"/>
  <c r="J174" i="9" s="1"/>
  <c r="K174" i="9" s="1"/>
  <c r="G175" i="12" s="1"/>
  <c r="F175" i="12" s="1"/>
  <c r="F173" i="9"/>
  <c r="H173" i="9" s="1"/>
  <c r="J173" i="9" s="1"/>
  <c r="K173" i="9" s="1"/>
  <c r="G174" i="12" s="1"/>
  <c r="F174" i="12" s="1"/>
  <c r="F172" i="9"/>
  <c r="H172" i="9" s="1"/>
  <c r="J172" i="9" s="1"/>
  <c r="K172" i="9" s="1"/>
  <c r="G173" i="12" s="1"/>
  <c r="F173" i="12" s="1"/>
  <c r="F170" i="9"/>
  <c r="H170" i="9" s="1"/>
  <c r="J170" i="9" s="1"/>
  <c r="K170" i="9" s="1"/>
  <c r="G171" i="12" s="1"/>
  <c r="F171" i="12" s="1"/>
  <c r="F167" i="9"/>
  <c r="H167" i="9" s="1"/>
  <c r="J167" i="9" s="1"/>
  <c r="K167" i="9" s="1"/>
  <c r="G168" i="12" s="1"/>
  <c r="F168" i="12" s="1"/>
  <c r="F166" i="9"/>
  <c r="H166" i="9" s="1"/>
  <c r="J166" i="9" s="1"/>
  <c r="K166" i="9" s="1"/>
  <c r="G167" i="12" s="1"/>
  <c r="F167" i="12" s="1"/>
  <c r="F165" i="9"/>
  <c r="H165" i="9" s="1"/>
  <c r="J165" i="9" s="1"/>
  <c r="K165" i="9" s="1"/>
  <c r="G166" i="12" s="1"/>
  <c r="F166" i="12" s="1"/>
  <c r="F164" i="9"/>
  <c r="H164" i="9" s="1"/>
  <c r="J164" i="9" s="1"/>
  <c r="K164" i="9" s="1"/>
  <c r="G165" i="12" s="1"/>
  <c r="F165" i="12" s="1"/>
  <c r="F163" i="9"/>
  <c r="H163" i="9" s="1"/>
  <c r="J163" i="9" s="1"/>
  <c r="K163" i="9" s="1"/>
  <c r="G164" i="12" s="1"/>
  <c r="F164" i="12" s="1"/>
  <c r="F162" i="9"/>
  <c r="H162" i="9" s="1"/>
  <c r="J162" i="9" s="1"/>
  <c r="K162" i="9" s="1"/>
  <c r="G163" i="12" s="1"/>
  <c r="F163" i="12" s="1"/>
  <c r="F161" i="9"/>
  <c r="H161" i="9" s="1"/>
  <c r="J161" i="9" s="1"/>
  <c r="K161" i="9" s="1"/>
  <c r="G162" i="12" s="1"/>
  <c r="F162" i="12" s="1"/>
  <c r="F160" i="9"/>
  <c r="H160" i="9" s="1"/>
  <c r="J160" i="9" s="1"/>
  <c r="K160" i="9" s="1"/>
  <c r="G161" i="12" s="1"/>
  <c r="F161" i="12" s="1"/>
  <c r="F159" i="9"/>
  <c r="H159" i="9" s="1"/>
  <c r="J159" i="9" s="1"/>
  <c r="K159" i="9" s="1"/>
  <c r="G160" i="12" s="1"/>
  <c r="F160" i="12" s="1"/>
  <c r="F158" i="9"/>
  <c r="H158" i="9" s="1"/>
  <c r="J158" i="9" s="1"/>
  <c r="K158" i="9" s="1"/>
  <c r="G159" i="12" s="1"/>
  <c r="F159" i="12" s="1"/>
  <c r="F157" i="9"/>
  <c r="H157" i="9" s="1"/>
  <c r="J157" i="9" s="1"/>
  <c r="K157" i="9" s="1"/>
  <c r="G158" i="12" s="1"/>
  <c r="F158" i="12" s="1"/>
  <c r="F156" i="9"/>
  <c r="H156" i="9" s="1"/>
  <c r="J156" i="9" s="1"/>
  <c r="K156" i="9" s="1"/>
  <c r="G157" i="12" s="1"/>
  <c r="F157" i="12" s="1"/>
  <c r="F155" i="9"/>
  <c r="H155" i="9" s="1"/>
  <c r="J155" i="9" s="1"/>
  <c r="K155" i="9" s="1"/>
  <c r="G156" i="12" s="1"/>
  <c r="F156" i="12" s="1"/>
  <c r="F152" i="9"/>
  <c r="H152" i="9" s="1"/>
  <c r="J152" i="9" s="1"/>
  <c r="K152" i="9" s="1"/>
  <c r="G153" i="12" s="1"/>
  <c r="F153" i="12" s="1"/>
  <c r="F151" i="9"/>
  <c r="H151" i="9" s="1"/>
  <c r="F147" i="9"/>
  <c r="H147" i="9" s="1"/>
  <c r="J147" i="9" s="1"/>
  <c r="K147" i="9" s="1"/>
  <c r="G148" i="12" s="1"/>
  <c r="F148" i="12" s="1"/>
  <c r="F139" i="9"/>
  <c r="H139" i="9" s="1"/>
  <c r="J139" i="9" s="1"/>
  <c r="K139" i="9" s="1"/>
  <c r="G140" i="12" s="1"/>
  <c r="F140" i="12" s="1"/>
  <c r="F136" i="9"/>
  <c r="H136" i="9" s="1"/>
  <c r="J136" i="9" s="1"/>
  <c r="K136" i="9" s="1"/>
  <c r="G137" i="12" s="1"/>
  <c r="F137" i="12" s="1"/>
  <c r="F133" i="9"/>
  <c r="H133" i="9" s="1"/>
  <c r="J133" i="9" s="1"/>
  <c r="K133" i="9" s="1"/>
  <c r="G134" i="12" s="1"/>
  <c r="F134" i="12" s="1"/>
  <c r="F132" i="9"/>
  <c r="H132" i="9" s="1"/>
  <c r="J132" i="9" s="1"/>
  <c r="K132" i="9" s="1"/>
  <c r="G133" i="12" s="1"/>
  <c r="F133" i="12" s="1"/>
  <c r="F131" i="9"/>
  <c r="H131" i="9" s="1"/>
  <c r="J131" i="9" s="1"/>
  <c r="K131" i="9" s="1"/>
  <c r="G132" i="12" s="1"/>
  <c r="F132" i="12" s="1"/>
  <c r="F129" i="9"/>
  <c r="H129" i="9" s="1"/>
  <c r="J129" i="9" s="1"/>
  <c r="K129" i="9" s="1"/>
  <c r="G130" i="12" s="1"/>
  <c r="F130" i="12" s="1"/>
  <c r="F128" i="9"/>
  <c r="H128" i="9" s="1"/>
  <c r="J128" i="9" s="1"/>
  <c r="K128" i="9" s="1"/>
  <c r="G129" i="12" s="1"/>
  <c r="F129" i="12" s="1"/>
  <c r="F125" i="9"/>
  <c r="H125" i="9" s="1"/>
  <c r="J125" i="9" s="1"/>
  <c r="K125" i="9" s="1"/>
  <c r="G126" i="12" s="1"/>
  <c r="F126" i="12" s="1"/>
  <c r="F124" i="9"/>
  <c r="H124" i="9" s="1"/>
  <c r="J124" i="9" s="1"/>
  <c r="K124" i="9" s="1"/>
  <c r="G125" i="12" s="1"/>
  <c r="F125" i="12" s="1"/>
  <c r="F123" i="9"/>
  <c r="H123" i="9" s="1"/>
  <c r="J123" i="9" s="1"/>
  <c r="K123" i="9" s="1"/>
  <c r="G124" i="12" s="1"/>
  <c r="F124" i="12" s="1"/>
  <c r="F121" i="9"/>
  <c r="H121" i="9" s="1"/>
  <c r="J121" i="9" s="1"/>
  <c r="K121" i="9" s="1"/>
  <c r="G122" i="12" s="1"/>
  <c r="F122" i="12" s="1"/>
  <c r="F120" i="9"/>
  <c r="H120" i="9" s="1"/>
  <c r="J120" i="9" s="1"/>
  <c r="K120" i="9" s="1"/>
  <c r="G121" i="12" s="1"/>
  <c r="F121" i="12" s="1"/>
  <c r="F119" i="9"/>
  <c r="H119" i="9" s="1"/>
  <c r="J119" i="9" s="1"/>
  <c r="K119" i="9" s="1"/>
  <c r="G120" i="12" s="1"/>
  <c r="F120" i="12" s="1"/>
  <c r="F118" i="9"/>
  <c r="H118" i="9" s="1"/>
  <c r="J118" i="9" s="1"/>
  <c r="K118" i="9" s="1"/>
  <c r="G119" i="12" s="1"/>
  <c r="F119" i="12" s="1"/>
  <c r="F114" i="9"/>
  <c r="H114" i="9" s="1"/>
  <c r="J114" i="9" s="1"/>
  <c r="K114" i="9" s="1"/>
  <c r="G115" i="12" s="1"/>
  <c r="F115" i="12" s="1"/>
  <c r="F113" i="9"/>
  <c r="H113" i="9" s="1"/>
  <c r="J113" i="9" s="1"/>
  <c r="K113" i="9" s="1"/>
  <c r="G114" i="12" s="1"/>
  <c r="F114" i="12" s="1"/>
  <c r="F112" i="9"/>
  <c r="H112" i="9" s="1"/>
  <c r="J112" i="9" s="1"/>
  <c r="K112" i="9" s="1"/>
  <c r="G113" i="12" s="1"/>
  <c r="F113" i="12" s="1"/>
  <c r="F111" i="9"/>
  <c r="H111" i="9" s="1"/>
  <c r="J111" i="9" s="1"/>
  <c r="K111" i="9" s="1"/>
  <c r="G112" i="12" s="1"/>
  <c r="F112" i="12" s="1"/>
  <c r="F110" i="9"/>
  <c r="H110" i="9" s="1"/>
  <c r="J110" i="9" s="1"/>
  <c r="K110" i="9" s="1"/>
  <c r="G111" i="12" s="1"/>
  <c r="F111" i="12" s="1"/>
  <c r="F109" i="9"/>
  <c r="H109" i="9" s="1"/>
  <c r="J109" i="9" s="1"/>
  <c r="K109" i="9" s="1"/>
  <c r="G110" i="12" s="1"/>
  <c r="F110" i="12" s="1"/>
  <c r="F108" i="9"/>
  <c r="H108" i="9" s="1"/>
  <c r="J108" i="9" s="1"/>
  <c r="K108" i="9" s="1"/>
  <c r="G109" i="12" s="1"/>
  <c r="F109" i="12" s="1"/>
  <c r="F107" i="9"/>
  <c r="H107" i="9" s="1"/>
  <c r="J107" i="9" s="1"/>
  <c r="K107" i="9" s="1"/>
  <c r="G108" i="12" s="1"/>
  <c r="F108" i="12" s="1"/>
  <c r="F146" i="9"/>
  <c r="H146" i="9" s="1"/>
  <c r="J146" i="9" s="1"/>
  <c r="K146" i="9" s="1"/>
  <c r="G147" i="12" s="1"/>
  <c r="F147" i="12" s="1"/>
  <c r="F145" i="9"/>
  <c r="H145" i="9" s="1"/>
  <c r="J145" i="9" s="1"/>
  <c r="K145" i="9" s="1"/>
  <c r="G146" i="12" s="1"/>
  <c r="F146" i="12" s="1"/>
  <c r="F144" i="9"/>
  <c r="H144" i="9" s="1"/>
  <c r="J144" i="9" s="1"/>
  <c r="K144" i="9" s="1"/>
  <c r="G145" i="12" s="1"/>
  <c r="F145" i="12" s="1"/>
  <c r="F143" i="9"/>
  <c r="H143" i="9" s="1"/>
  <c r="J143" i="9" s="1"/>
  <c r="K143" i="9" s="1"/>
  <c r="G144" i="12" s="1"/>
  <c r="F144" i="12" s="1"/>
  <c r="F142" i="9"/>
  <c r="H142" i="9" s="1"/>
  <c r="J142" i="9" s="1"/>
  <c r="K142" i="9" s="1"/>
  <c r="G143" i="12" s="1"/>
  <c r="F143" i="12" s="1"/>
  <c r="F141" i="9"/>
  <c r="H141" i="9" s="1"/>
  <c r="J141" i="9" s="1"/>
  <c r="K141" i="9" s="1"/>
  <c r="G142" i="12" s="1"/>
  <c r="F142" i="12" s="1"/>
  <c r="F105" i="9"/>
  <c r="H105" i="9" s="1"/>
  <c r="J105" i="9" s="1"/>
  <c r="K105" i="9" s="1"/>
  <c r="G106" i="12" s="1"/>
  <c r="F106" i="12" s="1"/>
  <c r="F104" i="9"/>
  <c r="H104" i="9" s="1"/>
  <c r="J104" i="9" s="1"/>
  <c r="K104" i="9" s="1"/>
  <c r="G105" i="12" s="1"/>
  <c r="F105" i="12" s="1"/>
  <c r="F102" i="9"/>
  <c r="H102" i="9" s="1"/>
  <c r="J102" i="9" s="1"/>
  <c r="K102" i="9" s="1"/>
  <c r="G103" i="12" s="1"/>
  <c r="F103" i="12" s="1"/>
  <c r="F100" i="9"/>
  <c r="H100" i="9" s="1"/>
  <c r="J100" i="9" s="1"/>
  <c r="K100" i="9" s="1"/>
  <c r="G101" i="12" s="1"/>
  <c r="F101" i="12" s="1"/>
  <c r="F96" i="9"/>
  <c r="H96" i="9" s="1"/>
  <c r="J96" i="9" s="1"/>
  <c r="K96" i="9" s="1"/>
  <c r="G97" i="12" s="1"/>
  <c r="F97" i="12" s="1"/>
  <c r="F95" i="9"/>
  <c r="H95" i="9" s="1"/>
  <c r="J95" i="9" s="1"/>
  <c r="K95" i="9" s="1"/>
  <c r="G96" i="12" s="1"/>
  <c r="F96" i="12" s="1"/>
  <c r="F92" i="9"/>
  <c r="H92" i="9" s="1"/>
  <c r="J92" i="9" s="1"/>
  <c r="K92" i="9" s="1"/>
  <c r="G93" i="12" s="1"/>
  <c r="F93" i="12" s="1"/>
  <c r="F91" i="9"/>
  <c r="H91" i="9" s="1"/>
  <c r="J91" i="9" s="1"/>
  <c r="K91" i="9" s="1"/>
  <c r="G92" i="12" s="1"/>
  <c r="F92" i="12" s="1"/>
  <c r="F89" i="9"/>
  <c r="H89" i="9" s="1"/>
  <c r="J89" i="9" s="1"/>
  <c r="K89" i="9" s="1"/>
  <c r="G90" i="12" s="1"/>
  <c r="F90" i="12" s="1"/>
  <c r="F88" i="9"/>
  <c r="H88" i="9" s="1"/>
  <c r="F85" i="9"/>
  <c r="H85" i="9" s="1"/>
  <c r="J85" i="9" s="1"/>
  <c r="K85" i="9" s="1"/>
  <c r="G86" i="12" s="1"/>
  <c r="F86" i="12" s="1"/>
  <c r="F84" i="9"/>
  <c r="H84" i="9" s="1"/>
  <c r="J84" i="9" s="1"/>
  <c r="K84" i="9" s="1"/>
  <c r="G85" i="12" s="1"/>
  <c r="F85" i="12" s="1"/>
  <c r="F83" i="9"/>
  <c r="H83" i="9" s="1"/>
  <c r="J83" i="9" s="1"/>
  <c r="K83" i="9" s="1"/>
  <c r="G84" i="12" s="1"/>
  <c r="F84" i="12" s="1"/>
  <c r="F82" i="9"/>
  <c r="H82" i="9" s="1"/>
  <c r="J82" i="9" s="1"/>
  <c r="K82" i="9" s="1"/>
  <c r="G83" i="12" s="1"/>
  <c r="F83" i="12" s="1"/>
  <c r="F81" i="9"/>
  <c r="H81" i="9" s="1"/>
  <c r="J81" i="9" s="1"/>
  <c r="K81" i="9" s="1"/>
  <c r="G82" i="12" s="1"/>
  <c r="F82" i="12" s="1"/>
  <c r="F77" i="9"/>
  <c r="H77" i="9" s="1"/>
  <c r="J77" i="9" s="1"/>
  <c r="K77" i="9" s="1"/>
  <c r="G78" i="12" s="1"/>
  <c r="F78" i="12" s="1"/>
  <c r="F69" i="9"/>
  <c r="H69" i="9" s="1"/>
  <c r="J69" i="9" s="1"/>
  <c r="K69" i="9" s="1"/>
  <c r="G70" i="12" s="1"/>
  <c r="F70" i="12" s="1"/>
  <c r="F68" i="9"/>
  <c r="H68" i="9" s="1"/>
  <c r="J68" i="9" s="1"/>
  <c r="K68" i="9" s="1"/>
  <c r="G69" i="12" s="1"/>
  <c r="F69" i="12" s="1"/>
  <c r="F76" i="9"/>
  <c r="H76" i="9" s="1"/>
  <c r="J76" i="9" s="1"/>
  <c r="K76" i="9" s="1"/>
  <c r="G77" i="12" s="1"/>
  <c r="F77" i="12" s="1"/>
  <c r="F72" i="9"/>
  <c r="H72" i="9" s="1"/>
  <c r="F67" i="9"/>
  <c r="H67" i="9" s="1"/>
  <c r="J67" i="9" s="1"/>
  <c r="K67" i="9" s="1"/>
  <c r="G68" i="12" s="1"/>
  <c r="F68" i="12" s="1"/>
  <c r="F63" i="9"/>
  <c r="H63" i="9" s="1"/>
  <c r="J63" i="9" s="1"/>
  <c r="K63" i="9" s="1"/>
  <c r="G64" i="12" s="1"/>
  <c r="F64" i="12" s="1"/>
  <c r="F61" i="9"/>
  <c r="H61" i="9" s="1"/>
  <c r="J61" i="9" s="1"/>
  <c r="K61" i="9" s="1"/>
  <c r="G62" i="12" s="1"/>
  <c r="F62" i="12" s="1"/>
  <c r="F57" i="9"/>
  <c r="H57" i="9" s="1"/>
  <c r="F44" i="9"/>
  <c r="H44" i="9" s="1"/>
  <c r="J44" i="9" s="1"/>
  <c r="K44" i="9" s="1"/>
  <c r="G45" i="12" s="1"/>
  <c r="F45" i="12" s="1"/>
  <c r="F53" i="9"/>
  <c r="H53" i="9" s="1"/>
  <c r="J53" i="9" s="1"/>
  <c r="K53" i="9" s="1"/>
  <c r="G54" i="12" s="1"/>
  <c r="F54" i="12" s="1"/>
  <c r="F51" i="9"/>
  <c r="H51" i="9" s="1"/>
  <c r="J51" i="9" s="1"/>
  <c r="K51" i="9" s="1"/>
  <c r="G52" i="12" s="1"/>
  <c r="F52" i="12" s="1"/>
  <c r="F50" i="9"/>
  <c r="H50" i="9" s="1"/>
  <c r="J50" i="9" s="1"/>
  <c r="K50" i="9" s="1"/>
  <c r="G51" i="12" s="1"/>
  <c r="F51" i="12" s="1"/>
  <c r="F49" i="9"/>
  <c r="H49" i="9" s="1"/>
  <c r="J49" i="9" s="1"/>
  <c r="K49" i="9" s="1"/>
  <c r="G50" i="12" s="1"/>
  <c r="F50" i="12" s="1"/>
  <c r="F48" i="9"/>
  <c r="H48" i="9" s="1"/>
  <c r="J48" i="9" s="1"/>
  <c r="K48" i="9" s="1"/>
  <c r="G49" i="12" s="1"/>
  <c r="F49" i="12" s="1"/>
  <c r="F47" i="9"/>
  <c r="H47" i="9" s="1"/>
  <c r="J47" i="9" s="1"/>
  <c r="K47" i="9" s="1"/>
  <c r="G48" i="12" s="1"/>
  <c r="F48" i="12" s="1"/>
  <c r="F36" i="9"/>
  <c r="H36" i="9" s="1"/>
  <c r="J36" i="9" s="1"/>
  <c r="K36" i="9" s="1"/>
  <c r="G37" i="12" s="1"/>
  <c r="F37" i="12" s="1"/>
  <c r="F34" i="9"/>
  <c r="H34" i="9" s="1"/>
  <c r="J34" i="9" s="1"/>
  <c r="K34" i="9" s="1"/>
  <c r="G35" i="12" s="1"/>
  <c r="F35" i="12" s="1"/>
  <c r="F30" i="9"/>
  <c r="H30" i="9" s="1"/>
  <c r="F32" i="9"/>
  <c r="F28" i="9"/>
  <c r="H28" i="9" s="1"/>
  <c r="J28" i="9" s="1"/>
  <c r="K28" i="9" s="1"/>
  <c r="G29" i="12" s="1"/>
  <c r="F29" i="12" s="1"/>
  <c r="F26" i="9"/>
  <c r="H26" i="9" s="1"/>
  <c r="F24" i="9"/>
  <c r="H24" i="9" s="1"/>
  <c r="F21" i="9"/>
  <c r="H21" i="9" s="1"/>
  <c r="F20" i="9"/>
  <c r="H20" i="9" s="1"/>
  <c r="F19" i="9"/>
  <c r="H19" i="9" s="1"/>
  <c r="J19" i="9" s="1"/>
  <c r="K19" i="9" s="1"/>
  <c r="G20" i="12" s="1"/>
  <c r="F20" i="12" s="1"/>
  <c r="E299" i="9"/>
  <c r="M297" i="9"/>
  <c r="N297" i="9" s="1"/>
  <c r="M296" i="9"/>
  <c r="N296" i="9" s="1"/>
  <c r="E267" i="9"/>
  <c r="E266" i="9"/>
  <c r="E265" i="9"/>
  <c r="E260" i="9"/>
  <c r="E259" i="9"/>
  <c r="E258" i="9"/>
  <c r="E248" i="9"/>
  <c r="E247" i="9"/>
  <c r="E246" i="9"/>
  <c r="E239" i="9"/>
  <c r="E215" i="9"/>
  <c r="E213" i="9"/>
  <c r="E209" i="9"/>
  <c r="E207" i="9"/>
  <c r="E206" i="9"/>
  <c r="E205" i="9"/>
  <c r="E204" i="9"/>
  <c r="E198" i="9"/>
  <c r="E195" i="9"/>
  <c r="E193" i="9"/>
  <c r="E192" i="9"/>
  <c r="E190" i="9"/>
  <c r="E182" i="9"/>
  <c r="E181" i="9"/>
  <c r="E160" i="9"/>
  <c r="E156" i="9"/>
  <c r="E152" i="9"/>
  <c r="E151" i="9"/>
  <c r="N125" i="9"/>
  <c r="N124" i="9"/>
  <c r="M123" i="9"/>
  <c r="N123" i="9" s="1"/>
  <c r="M122" i="9"/>
  <c r="M121" i="9"/>
  <c r="N121" i="9" s="1"/>
  <c r="M120" i="9"/>
  <c r="N120" i="9" s="1"/>
  <c r="M119" i="9"/>
  <c r="N119" i="9" s="1"/>
  <c r="M118" i="9"/>
  <c r="N118" i="9" s="1"/>
  <c r="M117" i="9"/>
  <c r="M116" i="9"/>
  <c r="N116" i="9" s="1"/>
  <c r="N114" i="9"/>
  <c r="N113" i="9"/>
  <c r="N112" i="9"/>
  <c r="N111" i="9"/>
  <c r="N110" i="9"/>
  <c r="N109" i="9"/>
  <c r="N108" i="9"/>
  <c r="N107" i="9"/>
  <c r="E103" i="9"/>
  <c r="N89" i="9"/>
  <c r="N88" i="9"/>
  <c r="E85" i="9"/>
  <c r="E83" i="9"/>
  <c r="E81" i="9"/>
  <c r="E80" i="9"/>
  <c r="E51" i="9"/>
  <c r="E49" i="9"/>
  <c r="E48" i="9"/>
  <c r="E47" i="9"/>
  <c r="E46" i="9"/>
  <c r="E17" i="9"/>
  <c r="Q16" i="9"/>
  <c r="Q12" i="9"/>
  <c r="J88" i="9" l="1"/>
  <c r="H86" i="9"/>
  <c r="J272" i="9"/>
  <c r="J271" i="9" s="1"/>
  <c r="H271" i="9"/>
  <c r="K116" i="9"/>
  <c r="J115" i="9"/>
  <c r="H255" i="9"/>
  <c r="J57" i="9"/>
  <c r="H54" i="9"/>
  <c r="J72" i="9"/>
  <c r="H70" i="9"/>
  <c r="J234" i="9"/>
  <c r="H231" i="9"/>
  <c r="J268" i="9"/>
  <c r="J255" i="9" s="1"/>
  <c r="J296" i="9"/>
  <c r="J295" i="9" s="1"/>
  <c r="H295" i="9"/>
  <c r="J181" i="9"/>
  <c r="H179" i="9"/>
  <c r="K318" i="9"/>
  <c r="J317" i="9"/>
  <c r="J25" i="9"/>
  <c r="K25" i="9" s="1"/>
  <c r="G26" i="12" s="1"/>
  <c r="H32" i="9"/>
  <c r="J32" i="9" s="1"/>
  <c r="K32" i="9" s="1"/>
  <c r="G33" i="12" s="1"/>
  <c r="F33" i="12" s="1"/>
  <c r="J151" i="9"/>
  <c r="H149" i="9"/>
  <c r="J239" i="9"/>
  <c r="K239" i="9" s="1"/>
  <c r="G240" i="12" s="1"/>
  <c r="F240" i="12" s="1"/>
  <c r="H115" i="9"/>
  <c r="F115" i="9"/>
  <c r="F54" i="9"/>
  <c r="F70" i="9"/>
  <c r="F86" i="9"/>
  <c r="F271" i="9"/>
  <c r="F149" i="9"/>
  <c r="F231" i="9"/>
  <c r="F295" i="9"/>
  <c r="F255" i="9"/>
  <c r="F179" i="9"/>
  <c r="J24" i="9"/>
  <c r="K24" i="9" s="1"/>
  <c r="G25" i="12" s="1"/>
  <c r="F25" i="12" s="1"/>
  <c r="F18" i="9"/>
  <c r="F37" i="9"/>
  <c r="J22" i="9"/>
  <c r="K22" i="9" s="1"/>
  <c r="G23" i="12" s="1"/>
  <c r="F23" i="12" s="1"/>
  <c r="J23" i="9"/>
  <c r="K23" i="9" s="1"/>
  <c r="G24" i="12" s="1"/>
  <c r="J30" i="9"/>
  <c r="K30" i="9" s="1"/>
  <c r="G31" i="12" s="1"/>
  <c r="F31" i="12" s="1"/>
  <c r="J21" i="9"/>
  <c r="K21" i="9" s="1"/>
  <c r="G22" i="12" s="1"/>
  <c r="F22" i="12" s="1"/>
  <c r="J27" i="9"/>
  <c r="K27" i="9" s="1"/>
  <c r="G28" i="12" s="1"/>
  <c r="J29" i="9"/>
  <c r="K29" i="9" s="1"/>
  <c r="G30" i="12" s="1"/>
  <c r="J26" i="9"/>
  <c r="K26" i="9" s="1"/>
  <c r="G27" i="12" s="1"/>
  <c r="F27" i="12" s="1"/>
  <c r="K317" i="9" l="1"/>
  <c r="G318" i="12" s="1"/>
  <c r="F318" i="12" s="1"/>
  <c r="G319" i="12"/>
  <c r="F319" i="12" s="1"/>
  <c r="K115" i="9"/>
  <c r="G116" i="12" s="1"/>
  <c r="F116" i="12" s="1"/>
  <c r="G117" i="12"/>
  <c r="F117" i="12" s="1"/>
  <c r="H148" i="9"/>
  <c r="K268" i="9"/>
  <c r="K272" i="9"/>
  <c r="K72" i="9"/>
  <c r="J70" i="9"/>
  <c r="H18" i="9"/>
  <c r="K151" i="9"/>
  <c r="J149" i="9"/>
  <c r="K296" i="9"/>
  <c r="K181" i="9"/>
  <c r="J179" i="9"/>
  <c r="K234" i="9"/>
  <c r="J231" i="9"/>
  <c r="K57" i="9"/>
  <c r="J54" i="9"/>
  <c r="K88" i="9"/>
  <c r="J86" i="9"/>
  <c r="F148" i="9"/>
  <c r="K31" i="9"/>
  <c r="G32" i="12" s="1"/>
  <c r="J20" i="9"/>
  <c r="K20" i="9" s="1"/>
  <c r="G21" i="12" s="1"/>
  <c r="F21" i="12" s="1"/>
  <c r="K179" i="9" l="1"/>
  <c r="G180" i="12" s="1"/>
  <c r="F180" i="12" s="1"/>
  <c r="G182" i="12"/>
  <c r="F182" i="12" s="1"/>
  <c r="K255" i="9"/>
  <c r="G256" i="12" s="1"/>
  <c r="F256" i="12" s="1"/>
  <c r="G269" i="12"/>
  <c r="F269" i="12" s="1"/>
  <c r="K295" i="9"/>
  <c r="G296" i="12" s="1"/>
  <c r="F296" i="12" s="1"/>
  <c r="G297" i="12"/>
  <c r="F297" i="12" s="1"/>
  <c r="K86" i="9"/>
  <c r="G87" i="12" s="1"/>
  <c r="F87" i="12" s="1"/>
  <c r="G89" i="12"/>
  <c r="F89" i="12" s="1"/>
  <c r="K231" i="9"/>
  <c r="G232" i="12" s="1"/>
  <c r="F232" i="12" s="1"/>
  <c r="G235" i="12"/>
  <c r="F235" i="12" s="1"/>
  <c r="K70" i="9"/>
  <c r="G71" i="12" s="1"/>
  <c r="F71" i="12" s="1"/>
  <c r="G73" i="12"/>
  <c r="F73" i="12" s="1"/>
  <c r="K54" i="9"/>
  <c r="G55" i="12" s="1"/>
  <c r="F55" i="12" s="1"/>
  <c r="G58" i="12"/>
  <c r="F58" i="12" s="1"/>
  <c r="K149" i="9"/>
  <c r="G150" i="12" s="1"/>
  <c r="F150" i="12" s="1"/>
  <c r="G152" i="12"/>
  <c r="F152" i="12" s="1"/>
  <c r="K271" i="9"/>
  <c r="G272" i="12" s="1"/>
  <c r="F272" i="12" s="1"/>
  <c r="G273" i="12"/>
  <c r="F273" i="12" s="1"/>
  <c r="J148" i="9"/>
  <c r="K18" i="9"/>
  <c r="G19" i="12" s="1"/>
  <c r="F19" i="12" s="1"/>
  <c r="J18" i="9"/>
  <c r="K148" i="9" l="1"/>
  <c r="G149" i="12" s="1"/>
  <c r="F149" i="12" s="1"/>
  <c r="H37" i="9"/>
  <c r="E90" i="5"/>
  <c r="E169" i="5" l="1"/>
  <c r="E168" i="5"/>
  <c r="E139" i="5"/>
  <c r="E138" i="5"/>
  <c r="E316" i="5" l="1"/>
  <c r="E315" i="5"/>
  <c r="E273" i="6" l="1"/>
  <c r="E243" i="6"/>
  <c r="E236" i="6"/>
  <c r="E235" i="6"/>
  <c r="E234" i="6"/>
  <c r="E229" i="6"/>
  <c r="E228" i="6"/>
  <c r="E227" i="6"/>
  <c r="E221" i="6"/>
  <c r="E181" i="6"/>
  <c r="E179" i="6"/>
  <c r="E175" i="6"/>
  <c r="E173" i="6"/>
  <c r="E172" i="6"/>
  <c r="E171" i="6"/>
  <c r="E170" i="6"/>
  <c r="E164" i="6"/>
  <c r="E161" i="6"/>
  <c r="E159" i="6"/>
  <c r="E158" i="6"/>
  <c r="E156" i="6"/>
  <c r="E146" i="6"/>
  <c r="E144" i="6"/>
  <c r="E142" i="6"/>
  <c r="E141" i="6"/>
  <c r="E105" i="6"/>
  <c r="E101" i="6"/>
  <c r="E96" i="6"/>
  <c r="E94" i="6"/>
  <c r="E93" i="6"/>
  <c r="E92" i="6"/>
  <c r="E91" i="6"/>
  <c r="E56" i="6"/>
  <c r="E55" i="6"/>
  <c r="E54" i="6"/>
  <c r="E46" i="6"/>
  <c r="E45" i="6"/>
  <c r="H41" i="6"/>
  <c r="H40" i="6"/>
  <c r="H39" i="6"/>
  <c r="H38" i="6"/>
  <c r="H37" i="6"/>
  <c r="H36" i="6"/>
  <c r="H35" i="6"/>
  <c r="H34" i="6"/>
  <c r="H32" i="6"/>
  <c r="H31" i="6"/>
  <c r="H29" i="6"/>
  <c r="H28" i="6"/>
  <c r="G27" i="6"/>
  <c r="H27" i="6" s="1"/>
  <c r="G26" i="6"/>
  <c r="G25" i="6"/>
  <c r="G24" i="6"/>
  <c r="H24" i="6" s="1"/>
  <c r="G23" i="6"/>
  <c r="H23" i="6" s="1"/>
  <c r="H22" i="6"/>
  <c r="G22" i="6"/>
  <c r="G21" i="6"/>
  <c r="G20" i="6"/>
  <c r="H20" i="6" s="1"/>
  <c r="G18" i="6"/>
  <c r="H18" i="6" s="1"/>
  <c r="G17" i="6"/>
  <c r="H17" i="6" s="1"/>
  <c r="E11" i="6"/>
  <c r="K10" i="6"/>
  <c r="K6" i="6"/>
  <c r="K11" i="5"/>
  <c r="K7" i="5"/>
  <c r="G29" i="3"/>
  <c r="H101" i="5" l="1"/>
  <c r="H100" i="5"/>
  <c r="H99" i="5"/>
  <c r="H98" i="5"/>
  <c r="H95" i="5"/>
  <c r="H96" i="5"/>
  <c r="H97" i="5"/>
  <c r="H94" i="5"/>
  <c r="H76" i="5"/>
  <c r="H75" i="5"/>
  <c r="H112" i="5"/>
  <c r="H111" i="5"/>
  <c r="G110" i="5"/>
  <c r="H110" i="5" s="1"/>
  <c r="G109" i="5"/>
  <c r="G108" i="5"/>
  <c r="G107" i="5"/>
  <c r="H107" i="5" s="1"/>
  <c r="G106" i="5"/>
  <c r="H106" i="5" s="1"/>
  <c r="G105" i="5"/>
  <c r="H105" i="5" s="1"/>
  <c r="G104" i="5"/>
  <c r="G103" i="5"/>
  <c r="H103" i="5" s="1"/>
  <c r="G284" i="5"/>
  <c r="H284" i="5" s="1"/>
  <c r="G283" i="5"/>
  <c r="H283" i="5" s="1"/>
  <c r="E286" i="5" l="1"/>
  <c r="E254" i="5"/>
  <c r="E253" i="5"/>
  <c r="E252" i="5"/>
  <c r="E247" i="5"/>
  <c r="E246" i="5"/>
  <c r="E245" i="5"/>
  <c r="E226" i="5"/>
  <c r="E202" i="5" l="1"/>
  <c r="E200" i="5"/>
  <c r="E196" i="5"/>
  <c r="G95" i="2" l="1"/>
  <c r="H95" i="2" s="1"/>
  <c r="H90" i="2"/>
  <c r="G89" i="2"/>
  <c r="G88" i="2"/>
  <c r="H88" i="2" s="1"/>
  <c r="I86" i="2"/>
  <c r="I85" i="2"/>
  <c r="I84" i="2"/>
  <c r="G84" i="2"/>
  <c r="H84" i="2" s="1"/>
  <c r="G83" i="2"/>
  <c r="H83" i="2" s="1"/>
  <c r="G73" i="2"/>
  <c r="H73" i="2" s="1"/>
  <c r="H72" i="2"/>
  <c r="H71" i="2"/>
  <c r="H70" i="2"/>
  <c r="H69" i="2"/>
  <c r="G87" i="2" s="1"/>
  <c r="G63" i="2"/>
  <c r="H62" i="2"/>
  <c r="H61" i="2"/>
  <c r="H60" i="2"/>
  <c r="H59" i="2"/>
  <c r="H58" i="2"/>
  <c r="H57" i="2"/>
  <c r="H56" i="2"/>
  <c r="H51" i="2"/>
  <c r="G48" i="2"/>
  <c r="G53" i="2" s="1"/>
  <c r="G64" i="2" s="1"/>
  <c r="D47" i="2"/>
  <c r="H47" i="2" s="1"/>
  <c r="H46" i="2"/>
  <c r="F44" i="2"/>
  <c r="E44" i="2"/>
  <c r="H44" i="2" s="1"/>
  <c r="D44" i="2"/>
  <c r="H43" i="2"/>
  <c r="F41" i="2"/>
  <c r="E41" i="2"/>
  <c r="D41" i="2"/>
  <c r="H41" i="2" s="1"/>
  <c r="H40" i="2"/>
  <c r="H39" i="2"/>
  <c r="H38" i="2"/>
  <c r="F36" i="2"/>
  <c r="E36" i="2"/>
  <c r="D36" i="2"/>
  <c r="H36" i="2" s="1"/>
  <c r="H35" i="2"/>
  <c r="H34" i="2"/>
  <c r="H33" i="2"/>
  <c r="G31" i="2"/>
  <c r="D31" i="2"/>
  <c r="H30" i="2"/>
  <c r="H29" i="2"/>
  <c r="H28" i="2"/>
  <c r="M130" i="3"/>
  <c r="M129" i="3"/>
  <c r="M128" i="3"/>
  <c r="M123" i="3"/>
  <c r="G123" i="3"/>
  <c r="L104" i="3" s="1"/>
  <c r="M104" i="3" s="1"/>
  <c r="M122" i="3"/>
  <c r="G122" i="3"/>
  <c r="H122" i="3" s="1"/>
  <c r="M121" i="3"/>
  <c r="M120" i="3"/>
  <c r="M119" i="3"/>
  <c r="M118" i="3"/>
  <c r="M117" i="3"/>
  <c r="M116" i="3"/>
  <c r="M115" i="3"/>
  <c r="M114" i="3"/>
  <c r="M113" i="3"/>
  <c r="M112" i="3"/>
  <c r="M108" i="3"/>
  <c r="G104" i="3"/>
  <c r="H104" i="3" s="1"/>
  <c r="L103" i="3"/>
  <c r="H103" i="3"/>
  <c r="G102" i="3"/>
  <c r="L102" i="3" s="1"/>
  <c r="M102" i="3" s="1"/>
  <c r="G101" i="3"/>
  <c r="M100" i="3"/>
  <c r="M97" i="3"/>
  <c r="J95" i="3"/>
  <c r="L94" i="3"/>
  <c r="H94" i="3"/>
  <c r="L93" i="3"/>
  <c r="H93" i="3"/>
  <c r="G92" i="3"/>
  <c r="H92" i="3" s="1"/>
  <c r="L91" i="3"/>
  <c r="H91" i="3"/>
  <c r="L90" i="3"/>
  <c r="H90" i="3"/>
  <c r="L89" i="3"/>
  <c r="M89" i="3" s="1"/>
  <c r="H89" i="3"/>
  <c r="L88" i="3"/>
  <c r="H88" i="3"/>
  <c r="M87" i="3"/>
  <c r="H87" i="3"/>
  <c r="L86" i="3"/>
  <c r="H86" i="3"/>
  <c r="G85" i="3"/>
  <c r="L84" i="3"/>
  <c r="H84" i="3"/>
  <c r="L83" i="3"/>
  <c r="H83" i="3"/>
  <c r="L82" i="3"/>
  <c r="H82" i="3"/>
  <c r="I81" i="3"/>
  <c r="I95" i="3" s="1"/>
  <c r="H81" i="3"/>
  <c r="L80" i="3"/>
  <c r="H80" i="3"/>
  <c r="M79" i="3"/>
  <c r="M78" i="3"/>
  <c r="K75" i="3"/>
  <c r="J75" i="3"/>
  <c r="J76" i="3" s="1"/>
  <c r="I75" i="3"/>
  <c r="H75" i="3"/>
  <c r="M74" i="3"/>
  <c r="M73" i="3"/>
  <c r="D71" i="3"/>
  <c r="H71" i="3" s="1"/>
  <c r="K70" i="3"/>
  <c r="J70" i="3"/>
  <c r="H70" i="3"/>
  <c r="M69" i="3"/>
  <c r="F68" i="3"/>
  <c r="E68" i="3"/>
  <c r="D68" i="3"/>
  <c r="K68" i="3"/>
  <c r="J67" i="3"/>
  <c r="J68" i="3" s="1"/>
  <c r="I67" i="3"/>
  <c r="H67" i="3"/>
  <c r="K64" i="3"/>
  <c r="J64" i="3"/>
  <c r="I64" i="3"/>
  <c r="H64" i="3"/>
  <c r="K63" i="3"/>
  <c r="J63" i="3"/>
  <c r="I63" i="3"/>
  <c r="H63" i="3"/>
  <c r="J62" i="3"/>
  <c r="I62" i="3"/>
  <c r="H62" i="3"/>
  <c r="K61" i="3"/>
  <c r="K60" i="3" s="1"/>
  <c r="J61" i="3"/>
  <c r="I61" i="3"/>
  <c r="H61" i="3"/>
  <c r="F60" i="3"/>
  <c r="F65" i="3" s="1"/>
  <c r="E60" i="3"/>
  <c r="E65" i="3" s="1"/>
  <c r="D60" i="3"/>
  <c r="M59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F48" i="3"/>
  <c r="E48" i="3"/>
  <c r="D48" i="3"/>
  <c r="K47" i="3"/>
  <c r="J47" i="3"/>
  <c r="I47" i="3"/>
  <c r="H47" i="3"/>
  <c r="K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F38" i="3"/>
  <c r="E38" i="3"/>
  <c r="D38" i="3"/>
  <c r="K37" i="3"/>
  <c r="J37" i="3"/>
  <c r="M37" i="3" s="1"/>
  <c r="H37" i="3"/>
  <c r="J36" i="3"/>
  <c r="I36" i="3"/>
  <c r="H36" i="3"/>
  <c r="I35" i="3"/>
  <c r="M35" i="3" s="1"/>
  <c r="H35" i="3"/>
  <c r="J34" i="3"/>
  <c r="I34" i="3"/>
  <c r="H34" i="3"/>
  <c r="E33" i="3"/>
  <c r="D33" i="3"/>
  <c r="M32" i="3"/>
  <c r="D31" i="3"/>
  <c r="I30" i="3"/>
  <c r="H30" i="3"/>
  <c r="L29" i="3"/>
  <c r="H29" i="3"/>
  <c r="G28" i="3"/>
  <c r="G117" i="3" s="1"/>
  <c r="H117" i="3" s="1"/>
  <c r="E194" i="5"/>
  <c r="E193" i="5"/>
  <c r="E192" i="5"/>
  <c r="E191" i="5"/>
  <c r="E185" i="5"/>
  <c r="E182" i="5"/>
  <c r="E180" i="5"/>
  <c r="E179" i="5"/>
  <c r="E177" i="5"/>
  <c r="E72" i="5"/>
  <c r="E70" i="5"/>
  <c r="E68" i="5"/>
  <c r="E67" i="5"/>
  <c r="E147" i="5"/>
  <c r="E143" i="5"/>
  <c r="E44" i="5"/>
  <c r="E42" i="5"/>
  <c r="E41" i="5"/>
  <c r="E40" i="5"/>
  <c r="E39" i="5"/>
  <c r="E235" i="5"/>
  <c r="E234" i="5"/>
  <c r="E233" i="5"/>
  <c r="E12" i="5"/>
  <c r="H101" i="3" l="1"/>
  <c r="G120" i="3" s="1"/>
  <c r="H31" i="2"/>
  <c r="G85" i="2"/>
  <c r="F48" i="2"/>
  <c r="F53" i="2" s="1"/>
  <c r="F64" i="2" s="1"/>
  <c r="F74" i="2" s="1"/>
  <c r="F76" i="2" s="1"/>
  <c r="F77" i="2" s="1"/>
  <c r="F78" i="2" s="1"/>
  <c r="F82" i="2" s="1"/>
  <c r="J60" i="3"/>
  <c r="J65" i="3" s="1"/>
  <c r="E48" i="2"/>
  <c r="K65" i="3"/>
  <c r="G95" i="3"/>
  <c r="G118" i="3"/>
  <c r="H118" i="3" s="1"/>
  <c r="M49" i="3"/>
  <c r="M51" i="3"/>
  <c r="M53" i="3"/>
  <c r="H60" i="3"/>
  <c r="D58" i="3"/>
  <c r="H48" i="3"/>
  <c r="L101" i="3"/>
  <c r="H68" i="3"/>
  <c r="M56" i="3"/>
  <c r="E58" i="3"/>
  <c r="E72" i="3" s="1"/>
  <c r="H38" i="3"/>
  <c r="H85" i="2"/>
  <c r="H120" i="3"/>
  <c r="E50" i="2"/>
  <c r="E52" i="2" s="1"/>
  <c r="E53" i="2" s="1"/>
  <c r="G96" i="2"/>
  <c r="H96" i="2" s="1"/>
  <c r="H87" i="2"/>
  <c r="M52" i="3"/>
  <c r="D65" i="3"/>
  <c r="H65" i="3" s="1"/>
  <c r="M80" i="3"/>
  <c r="F292" i="11"/>
  <c r="H292" i="11" s="1"/>
  <c r="J292" i="11" s="1"/>
  <c r="K292" i="11" s="1"/>
  <c r="F298" i="9"/>
  <c r="H298" i="9" s="1"/>
  <c r="J298" i="9" s="1"/>
  <c r="K298" i="9" s="1"/>
  <c r="G299" i="12" s="1"/>
  <c r="M84" i="3"/>
  <c r="F298" i="11"/>
  <c r="H298" i="11" s="1"/>
  <c r="J298" i="11" s="1"/>
  <c r="K298" i="11" s="1"/>
  <c r="F304" i="9"/>
  <c r="H304" i="9" s="1"/>
  <c r="J304" i="9" s="1"/>
  <c r="K304" i="9" s="1"/>
  <c r="G305" i="12" s="1"/>
  <c r="F305" i="12" s="1"/>
  <c r="M88" i="3"/>
  <c r="F309" i="11"/>
  <c r="H309" i="11" s="1"/>
  <c r="F315" i="9"/>
  <c r="H315" i="9" s="1"/>
  <c r="J315" i="9" s="1"/>
  <c r="K315" i="9" s="1"/>
  <c r="G316" i="12" s="1"/>
  <c r="G116" i="3"/>
  <c r="H116" i="3" s="1"/>
  <c r="G31" i="3"/>
  <c r="H31" i="3" s="1"/>
  <c r="H28" i="3"/>
  <c r="H85" i="3"/>
  <c r="F300" i="11"/>
  <c r="F306" i="9"/>
  <c r="H102" i="3"/>
  <c r="G121" i="3" s="1"/>
  <c r="H121" i="3" s="1"/>
  <c r="L28" i="3"/>
  <c r="M28" i="3" s="1"/>
  <c r="H123" i="3"/>
  <c r="M55" i="3"/>
  <c r="M82" i="3"/>
  <c r="F294" i="11"/>
  <c r="H294" i="11" s="1"/>
  <c r="J294" i="11" s="1"/>
  <c r="K294" i="11" s="1"/>
  <c r="F300" i="9"/>
  <c r="H300" i="9" s="1"/>
  <c r="J300" i="9" s="1"/>
  <c r="K300" i="9" s="1"/>
  <c r="G301" i="12" s="1"/>
  <c r="F301" i="12" s="1"/>
  <c r="M86" i="3"/>
  <c r="F307" i="11"/>
  <c r="F313" i="9"/>
  <c r="M90" i="3"/>
  <c r="F314" i="11"/>
  <c r="F320" i="9"/>
  <c r="M94" i="3"/>
  <c r="F301" i="11"/>
  <c r="H301" i="11" s="1"/>
  <c r="J301" i="11" s="1"/>
  <c r="K301" i="11" s="1"/>
  <c r="F307" i="9"/>
  <c r="H307" i="9" s="1"/>
  <c r="J307" i="9" s="1"/>
  <c r="K307" i="9" s="1"/>
  <c r="G308" i="12" s="1"/>
  <c r="F308" i="12" s="1"/>
  <c r="G129" i="3"/>
  <c r="H129" i="3" s="1"/>
  <c r="I38" i="3"/>
  <c r="F13" i="9"/>
  <c r="H13" i="9" s="1"/>
  <c r="J13" i="9" s="1"/>
  <c r="K13" i="9" s="1"/>
  <c r="G14" i="12" s="1"/>
  <c r="F7" i="11"/>
  <c r="M83" i="3"/>
  <c r="M91" i="3"/>
  <c r="F315" i="11"/>
  <c r="H315" i="11" s="1"/>
  <c r="J315" i="11" s="1"/>
  <c r="K315" i="11" s="1"/>
  <c r="F321" i="9"/>
  <c r="H321" i="9" s="1"/>
  <c r="J321" i="9" s="1"/>
  <c r="K321" i="9" s="1"/>
  <c r="G322" i="12" s="1"/>
  <c r="F322" i="12" s="1"/>
  <c r="D48" i="2"/>
  <c r="F17" i="9"/>
  <c r="H17" i="9" s="1"/>
  <c r="J17" i="9" s="1"/>
  <c r="F11" i="11"/>
  <c r="M62" i="3"/>
  <c r="M36" i="3"/>
  <c r="M45" i="3"/>
  <c r="M47" i="3"/>
  <c r="M81" i="3"/>
  <c r="I33" i="3"/>
  <c r="M39" i="3"/>
  <c r="K38" i="3"/>
  <c r="M43" i="3"/>
  <c r="M64" i="3"/>
  <c r="M70" i="3"/>
  <c r="L92" i="3"/>
  <c r="M92" i="3" s="1"/>
  <c r="M30" i="3"/>
  <c r="M50" i="3"/>
  <c r="I71" i="3"/>
  <c r="M71" i="3" s="1"/>
  <c r="J33" i="3"/>
  <c r="J38" i="3"/>
  <c r="M40" i="3"/>
  <c r="M42" i="3"/>
  <c r="K48" i="3"/>
  <c r="M54" i="3"/>
  <c r="M57" i="3"/>
  <c r="M61" i="3"/>
  <c r="M93" i="3"/>
  <c r="M41" i="3"/>
  <c r="M44" i="3"/>
  <c r="M46" i="3"/>
  <c r="M63" i="3"/>
  <c r="M67" i="3"/>
  <c r="M103" i="3"/>
  <c r="I68" i="3"/>
  <c r="M68" i="3" s="1"/>
  <c r="L85" i="3"/>
  <c r="M85" i="3" s="1"/>
  <c r="M29" i="3"/>
  <c r="I48" i="3"/>
  <c r="J48" i="3"/>
  <c r="I31" i="3"/>
  <c r="I60" i="3"/>
  <c r="M75" i="3"/>
  <c r="I76" i="3"/>
  <c r="M76" i="3" s="1"/>
  <c r="F33" i="3"/>
  <c r="M101" i="3" l="1"/>
  <c r="L31" i="3"/>
  <c r="L72" i="3" s="1"/>
  <c r="L77" i="3" s="1"/>
  <c r="L95" i="3"/>
  <c r="M95" i="3" s="1"/>
  <c r="G72" i="3"/>
  <c r="G77" i="3" s="1"/>
  <c r="F14" i="9"/>
  <c r="H14" i="9" s="1"/>
  <c r="H12" i="9" s="1"/>
  <c r="F16" i="9"/>
  <c r="H16" i="9"/>
  <c r="F91" i="2"/>
  <c r="H82" i="2"/>
  <c r="E55" i="2"/>
  <c r="E63" i="2" s="1"/>
  <c r="E64" i="2" s="1"/>
  <c r="E74" i="2" s="1"/>
  <c r="H314" i="11"/>
  <c r="F310" i="11"/>
  <c r="M38" i="3"/>
  <c r="H306" i="9"/>
  <c r="F305" i="9"/>
  <c r="F8" i="11"/>
  <c r="H8" i="11" s="1"/>
  <c r="H7" i="11"/>
  <c r="J7" i="11" s="1"/>
  <c r="K7" i="11" s="1"/>
  <c r="J309" i="11"/>
  <c r="K309" i="11" s="1"/>
  <c r="E74" i="3"/>
  <c r="D50" i="2"/>
  <c r="H48" i="2"/>
  <c r="H313" i="9"/>
  <c r="F312" i="9"/>
  <c r="F299" i="11"/>
  <c r="H300" i="11"/>
  <c r="F316" i="12"/>
  <c r="D72" i="3"/>
  <c r="G130" i="3"/>
  <c r="H130" i="3" s="1"/>
  <c r="H307" i="11"/>
  <c r="F306" i="11"/>
  <c r="F302" i="11"/>
  <c r="H302" i="11" s="1"/>
  <c r="J302" i="11" s="1"/>
  <c r="K302" i="11" s="1"/>
  <c r="H308" i="9"/>
  <c r="J308" i="9" s="1"/>
  <c r="K308" i="9" s="1"/>
  <c r="G309" i="12" s="1"/>
  <c r="F309" i="12" s="1"/>
  <c r="F299" i="12"/>
  <c r="H11" i="11"/>
  <c r="F10" i="11"/>
  <c r="H320" i="9"/>
  <c r="F316" i="9"/>
  <c r="K17" i="9"/>
  <c r="J16" i="9"/>
  <c r="M48" i="3"/>
  <c r="J58" i="3"/>
  <c r="J72" i="3" s="1"/>
  <c r="J77" i="3" s="1"/>
  <c r="J96" i="3" s="1"/>
  <c r="J107" i="3" s="1"/>
  <c r="I58" i="3"/>
  <c r="I65" i="3"/>
  <c r="M65" i="3" s="1"/>
  <c r="M60" i="3"/>
  <c r="M34" i="3"/>
  <c r="K33" i="3"/>
  <c r="F58" i="3"/>
  <c r="H33" i="3"/>
  <c r="M31" i="3" l="1"/>
  <c r="L96" i="3"/>
  <c r="F12" i="9"/>
  <c r="J109" i="3"/>
  <c r="J110" i="3" s="1"/>
  <c r="J111" i="3" s="1"/>
  <c r="J125" i="3" s="1"/>
  <c r="J14" i="9"/>
  <c r="K14" i="9" s="1"/>
  <c r="G15" i="12" s="1"/>
  <c r="F15" i="12" s="1"/>
  <c r="K16" i="9"/>
  <c r="G17" i="12" s="1"/>
  <c r="G18" i="12"/>
  <c r="F6" i="11"/>
  <c r="E76" i="2"/>
  <c r="E77" i="2" s="1"/>
  <c r="E78" i="2" s="1"/>
  <c r="E81" i="2" s="1"/>
  <c r="D74" i="3"/>
  <c r="J313" i="9"/>
  <c r="J312" i="9" s="1"/>
  <c r="H312" i="9"/>
  <c r="E145" i="3"/>
  <c r="E76" i="3"/>
  <c r="E77" i="3" s="1"/>
  <c r="J320" i="9"/>
  <c r="J316" i="9" s="1"/>
  <c r="H316" i="9"/>
  <c r="J307" i="11"/>
  <c r="J306" i="11" s="1"/>
  <c r="H306" i="11"/>
  <c r="H305" i="9"/>
  <c r="J306" i="9"/>
  <c r="J305" i="9" s="1"/>
  <c r="J314" i="11"/>
  <c r="H310" i="11"/>
  <c r="J11" i="11"/>
  <c r="J10" i="11" s="1"/>
  <c r="H10" i="11"/>
  <c r="H299" i="11"/>
  <c r="J300" i="11"/>
  <c r="J299" i="11" s="1"/>
  <c r="D52" i="2"/>
  <c r="H50" i="2"/>
  <c r="H6" i="11"/>
  <c r="J8" i="11"/>
  <c r="J6" i="11" s="1"/>
  <c r="F92" i="2"/>
  <c r="F93" i="2" s="1"/>
  <c r="I72" i="3"/>
  <c r="I77" i="3" s="1"/>
  <c r="I96" i="3" s="1"/>
  <c r="J126" i="3"/>
  <c r="K58" i="3"/>
  <c r="M33" i="3"/>
  <c r="F72" i="3"/>
  <c r="H58" i="3"/>
  <c r="G96" i="3"/>
  <c r="K320" i="9" l="1"/>
  <c r="K300" i="11"/>
  <c r="K299" i="11" s="1"/>
  <c r="K8" i="11"/>
  <c r="K6" i="11" s="1"/>
  <c r="K306" i="9"/>
  <c r="E91" i="2"/>
  <c r="H81" i="2"/>
  <c r="D145" i="3"/>
  <c r="H145" i="3" s="1"/>
  <c r="H74" i="3"/>
  <c r="D76" i="3"/>
  <c r="H52" i="2"/>
  <c r="D53" i="2"/>
  <c r="K314" i="11"/>
  <c r="K310" i="11" s="1"/>
  <c r="J310" i="11"/>
  <c r="K307" i="11"/>
  <c r="K306" i="11" s="1"/>
  <c r="E79" i="3"/>
  <c r="E95" i="3" s="1"/>
  <c r="E96" i="3" s="1"/>
  <c r="E107" i="3" s="1"/>
  <c r="I107" i="3"/>
  <c r="I109" i="3" s="1"/>
  <c r="I110" i="3" s="1"/>
  <c r="I111" i="3" s="1"/>
  <c r="I125" i="3" s="1"/>
  <c r="P83" i="3"/>
  <c r="Q83" i="3"/>
  <c r="K313" i="9"/>
  <c r="K11" i="11"/>
  <c r="K10" i="11" s="1"/>
  <c r="J127" i="3"/>
  <c r="F77" i="3"/>
  <c r="H72" i="3"/>
  <c r="K72" i="3"/>
  <c r="M58" i="3"/>
  <c r="S83" i="3" l="1"/>
  <c r="F323" i="9" s="1"/>
  <c r="K316" i="9"/>
  <c r="G317" i="12" s="1"/>
  <c r="F317" i="12" s="1"/>
  <c r="G321" i="12"/>
  <c r="F321" i="12" s="1"/>
  <c r="K312" i="9"/>
  <c r="G313" i="12" s="1"/>
  <c r="F313" i="12" s="1"/>
  <c r="G314" i="12"/>
  <c r="F314" i="12" s="1"/>
  <c r="K305" i="9"/>
  <c r="G306" i="12" s="1"/>
  <c r="F306" i="12" s="1"/>
  <c r="G307" i="12"/>
  <c r="F307" i="12" s="1"/>
  <c r="E109" i="3"/>
  <c r="E110" i="3" s="1"/>
  <c r="E111" i="3" s="1"/>
  <c r="E114" i="3" s="1"/>
  <c r="R83" i="3"/>
  <c r="H76" i="3"/>
  <c r="D77" i="3"/>
  <c r="F18" i="12"/>
  <c r="I126" i="3"/>
  <c r="I127" i="3" s="1"/>
  <c r="F14" i="12"/>
  <c r="D55" i="2"/>
  <c r="H53" i="2"/>
  <c r="E92" i="2"/>
  <c r="E93" i="2" s="1"/>
  <c r="K77" i="3"/>
  <c r="M72" i="3"/>
  <c r="F96" i="3"/>
  <c r="F318" i="11" l="1"/>
  <c r="H318" i="11" s="1"/>
  <c r="J318" i="11" s="1"/>
  <c r="K318" i="11" s="1"/>
  <c r="F324" i="9"/>
  <c r="H324" i="9" s="1"/>
  <c r="J324" i="9" s="1"/>
  <c r="K324" i="9" s="1"/>
  <c r="G325" i="12" s="1"/>
  <c r="F325" i="12" s="1"/>
  <c r="F317" i="11"/>
  <c r="H317" i="11" s="1"/>
  <c r="D79" i="3"/>
  <c r="D63" i="2"/>
  <c r="H55" i="2"/>
  <c r="F17" i="12"/>
  <c r="F296" i="11"/>
  <c r="F302" i="9"/>
  <c r="F303" i="9"/>
  <c r="H303" i="9" s="1"/>
  <c r="J303" i="9" s="1"/>
  <c r="K303" i="9" s="1"/>
  <c r="G304" i="12" s="1"/>
  <c r="F297" i="11"/>
  <c r="H297" i="11" s="1"/>
  <c r="F322" i="9"/>
  <c r="H323" i="9"/>
  <c r="E152" i="3"/>
  <c r="E153" i="3" s="1"/>
  <c r="E125" i="3"/>
  <c r="H114" i="3"/>
  <c r="H77" i="3"/>
  <c r="F107" i="3"/>
  <c r="K96" i="3"/>
  <c r="M77" i="3"/>
  <c r="F316" i="11" l="1"/>
  <c r="F304" i="12"/>
  <c r="H63" i="2"/>
  <c r="D64" i="2"/>
  <c r="E126" i="3"/>
  <c r="E127" i="3" s="1"/>
  <c r="E146" i="3"/>
  <c r="J317" i="11"/>
  <c r="J316" i="11" s="1"/>
  <c r="H316" i="11"/>
  <c r="J297" i="11"/>
  <c r="K297" i="11" s="1"/>
  <c r="F301" i="9"/>
  <c r="H302" i="9"/>
  <c r="H296" i="11"/>
  <c r="H295" i="11" s="1"/>
  <c r="F295" i="11"/>
  <c r="F319" i="11"/>
  <c r="H319" i="11" s="1"/>
  <c r="J319" i="11" s="1"/>
  <c r="K319" i="11" s="1"/>
  <c r="H322" i="9"/>
  <c r="J323" i="9"/>
  <c r="J322" i="9" s="1"/>
  <c r="D95" i="3"/>
  <c r="H79" i="3"/>
  <c r="F325" i="9"/>
  <c r="H325" i="9" s="1"/>
  <c r="K107" i="3"/>
  <c r="M96" i="3"/>
  <c r="F109" i="3"/>
  <c r="F110" i="3" s="1"/>
  <c r="F111" i="3" s="1"/>
  <c r="F115" i="3" s="1"/>
  <c r="F311" i="9" l="1"/>
  <c r="H311" i="9"/>
  <c r="E147" i="3"/>
  <c r="J147" i="3" s="1"/>
  <c r="J146" i="3"/>
  <c r="H301" i="9"/>
  <c r="J302" i="9"/>
  <c r="J301" i="9" s="1"/>
  <c r="K323" i="9"/>
  <c r="J325" i="9"/>
  <c r="K325" i="9" s="1"/>
  <c r="G326" i="12" s="1"/>
  <c r="F305" i="11"/>
  <c r="K317" i="11"/>
  <c r="K316" i="11" s="1"/>
  <c r="K305" i="11" s="1"/>
  <c r="D74" i="2"/>
  <c r="H64" i="2"/>
  <c r="H305" i="11"/>
  <c r="H95" i="3"/>
  <c r="D96" i="3"/>
  <c r="J305" i="11"/>
  <c r="J296" i="11"/>
  <c r="J295" i="11" s="1"/>
  <c r="K109" i="3"/>
  <c r="K110" i="3" s="1"/>
  <c r="K111" i="3" s="1"/>
  <c r="K125" i="3" s="1"/>
  <c r="F125" i="3"/>
  <c r="F146" i="3" s="1"/>
  <c r="H115" i="3"/>
  <c r="G66" i="2" l="1"/>
  <c r="G67" i="2" s="1"/>
  <c r="J66" i="2"/>
  <c r="G105" i="3" s="1"/>
  <c r="E148" i="3"/>
  <c r="J148" i="3" s="1"/>
  <c r="K322" i="9"/>
  <c r="G323" i="12" s="1"/>
  <c r="G324" i="12"/>
  <c r="F324" i="12" s="1"/>
  <c r="K146" i="3"/>
  <c r="J311" i="9"/>
  <c r="K296" i="11"/>
  <c r="K295" i="11" s="1"/>
  <c r="D107" i="3"/>
  <c r="H96" i="3"/>
  <c r="F147" i="3"/>
  <c r="F148" i="3" s="1"/>
  <c r="D76" i="2"/>
  <c r="D77" i="2" s="1"/>
  <c r="D78" i="2" s="1"/>
  <c r="F326" i="12"/>
  <c r="K302" i="9"/>
  <c r="K126" i="3"/>
  <c r="F126" i="3"/>
  <c r="F127" i="3" s="1"/>
  <c r="H66" i="2" l="1"/>
  <c r="G86" i="2" s="1"/>
  <c r="G91" i="2" s="1"/>
  <c r="H105" i="3"/>
  <c r="G106" i="3"/>
  <c r="H106" i="3" s="1"/>
  <c r="G98" i="3" s="1"/>
  <c r="K311" i="9"/>
  <c r="G312" i="12" s="1"/>
  <c r="F312" i="12" s="1"/>
  <c r="K301" i="9"/>
  <c r="G302" i="12" s="1"/>
  <c r="G303" i="12"/>
  <c r="F303" i="12" s="1"/>
  <c r="D80" i="2"/>
  <c r="F323" i="12"/>
  <c r="H67" i="2"/>
  <c r="G74" i="2"/>
  <c r="D109" i="3"/>
  <c r="D110" i="3" s="1"/>
  <c r="D111" i="3" s="1"/>
  <c r="D113" i="3" s="1"/>
  <c r="K127" i="3"/>
  <c r="K148" i="3" s="1"/>
  <c r="K147" i="3"/>
  <c r="H98" i="3" l="1"/>
  <c r="G119" i="3" s="1"/>
  <c r="G99" i="3"/>
  <c r="L98" i="3"/>
  <c r="L99" i="3" s="1"/>
  <c r="H86" i="2"/>
  <c r="D19" i="14"/>
  <c r="D152" i="3"/>
  <c r="D153" i="3" s="1"/>
  <c r="D125" i="3"/>
  <c r="H113" i="3"/>
  <c r="H99" i="3"/>
  <c r="G107" i="3"/>
  <c r="H119" i="3"/>
  <c r="G92" i="2"/>
  <c r="G93" i="2" s="1"/>
  <c r="G76" i="2"/>
  <c r="G77" i="2" s="1"/>
  <c r="G78" i="2" s="1"/>
  <c r="H78" i="2" s="1"/>
  <c r="H74" i="2"/>
  <c r="M98" i="3"/>
  <c r="F302" i="12"/>
  <c r="H80" i="2"/>
  <c r="M86" i="2" s="1"/>
  <c r="D91" i="2"/>
  <c r="F327" i="9" l="1"/>
  <c r="L105" i="3"/>
  <c r="G124" i="3"/>
  <c r="H124" i="3" s="1"/>
  <c r="E19" i="14"/>
  <c r="F19" i="14" s="1"/>
  <c r="G109" i="3"/>
  <c r="G110" i="3" s="1"/>
  <c r="G111" i="3" s="1"/>
  <c r="H111" i="3" s="1"/>
  <c r="H107" i="3"/>
  <c r="M99" i="3"/>
  <c r="D146" i="3"/>
  <c r="D126" i="3"/>
  <c r="D127" i="3" s="1"/>
  <c r="D92" i="2"/>
  <c r="H92" i="2" s="1"/>
  <c r="H91" i="2"/>
  <c r="G125" i="3" l="1"/>
  <c r="M105" i="3"/>
  <c r="L106" i="3"/>
  <c r="F328" i="9"/>
  <c r="H328" i="9" s="1"/>
  <c r="J328" i="9" s="1"/>
  <c r="K328" i="9" s="1"/>
  <c r="G329" i="12" s="1"/>
  <c r="F329" i="12" s="1"/>
  <c r="F326" i="9"/>
  <c r="H327" i="9"/>
  <c r="D93" i="2"/>
  <c r="H93" i="2" s="1"/>
  <c r="D147" i="3"/>
  <c r="I146" i="3"/>
  <c r="H326" i="9" l="1"/>
  <c r="J327" i="9"/>
  <c r="J326" i="9" s="1"/>
  <c r="M106" i="3"/>
  <c r="L107" i="3"/>
  <c r="H125" i="3"/>
  <c r="G126" i="3"/>
  <c r="G146" i="3"/>
  <c r="I147" i="3"/>
  <c r="D148" i="3"/>
  <c r="M107" i="3" l="1"/>
  <c r="L109" i="3"/>
  <c r="G147" i="3"/>
  <c r="H146" i="3"/>
  <c r="H126" i="3"/>
  <c r="G127" i="3"/>
  <c r="H127" i="3" s="1"/>
  <c r="K327" i="9"/>
  <c r="I148" i="3"/>
  <c r="L110" i="3" l="1"/>
  <c r="M109" i="3"/>
  <c r="G328" i="12"/>
  <c r="F328" i="12" s="1"/>
  <c r="K326" i="9"/>
  <c r="G148" i="3"/>
  <c r="H148" i="3" s="1"/>
  <c r="H147" i="3"/>
  <c r="F310" i="9" l="1"/>
  <c r="F304" i="11"/>
  <c r="P109" i="3"/>
  <c r="D20" i="14"/>
  <c r="E20" i="14" s="1"/>
  <c r="F20" i="14" s="1"/>
  <c r="G327" i="12"/>
  <c r="F327" i="12" s="1"/>
  <c r="M110" i="3"/>
  <c r="L111" i="3"/>
  <c r="J37" i="9"/>
  <c r="M111" i="3" l="1"/>
  <c r="L125" i="3"/>
  <c r="F9" i="11"/>
  <c r="F320" i="11" s="1"/>
  <c r="F321" i="11" s="1"/>
  <c r="F322" i="11" s="1"/>
  <c r="H304" i="11"/>
  <c r="F15" i="9"/>
  <c r="F329" i="9" s="1"/>
  <c r="F330" i="9" s="1"/>
  <c r="F331" i="9" s="1"/>
  <c r="H310" i="9"/>
  <c r="J12" i="9"/>
  <c r="K37" i="9"/>
  <c r="G38" i="12" s="1"/>
  <c r="F38" i="12" s="1"/>
  <c r="H15" i="9" l="1"/>
  <c r="H329" i="9" s="1"/>
  <c r="H330" i="9" s="1"/>
  <c r="H331" i="9" s="1"/>
  <c r="J310" i="9"/>
  <c r="M125" i="3"/>
  <c r="M146" i="3" s="1"/>
  <c r="L146" i="3"/>
  <c r="L126" i="3"/>
  <c r="J304" i="11"/>
  <c r="H9" i="11"/>
  <c r="H320" i="11" s="1"/>
  <c r="H321" i="11" s="1"/>
  <c r="H322" i="11" s="1"/>
  <c r="K12" i="9"/>
  <c r="J9" i="11" l="1"/>
  <c r="J320" i="11" s="1"/>
  <c r="J321" i="11" s="1"/>
  <c r="J322" i="11" s="1"/>
  <c r="K304" i="11"/>
  <c r="K9" i="11" s="1"/>
  <c r="K320" i="11" s="1"/>
  <c r="K321" i="11" s="1"/>
  <c r="K322" i="11" s="1"/>
  <c r="F323" i="11"/>
  <c r="K310" i="9"/>
  <c r="J15" i="9"/>
  <c r="J329" i="9" s="1"/>
  <c r="J330" i="9" s="1"/>
  <c r="J331" i="9" s="1"/>
  <c r="L127" i="3"/>
  <c r="L147" i="3"/>
  <c r="M126" i="3"/>
  <c r="M147" i="3" s="1"/>
  <c r="D17" i="14"/>
  <c r="G13" i="12"/>
  <c r="F13" i="12" s="1"/>
  <c r="G311" i="12" l="1"/>
  <c r="F311" i="12" s="1"/>
  <c r="K15" i="9"/>
  <c r="L148" i="3"/>
  <c r="M127" i="3"/>
  <c r="M148" i="3" s="1"/>
  <c r="E17" i="14"/>
  <c r="F17" i="14" s="1"/>
  <c r="G16" i="12" l="1"/>
  <c r="K329" i="9"/>
  <c r="K330" i="9" s="1"/>
  <c r="K331" i="9" s="1"/>
  <c r="D18" i="14"/>
  <c r="D21" i="14" l="1"/>
  <c r="E18" i="14"/>
  <c r="F16" i="12"/>
  <c r="G330" i="12"/>
  <c r="G331" i="12" s="1"/>
  <c r="G332" i="12" s="1"/>
  <c r="G6" i="13" s="1"/>
  <c r="E21" i="14" l="1"/>
  <c r="F18" i="14"/>
  <c r="F21" i="14" s="1"/>
  <c r="B31" i="4" s="1"/>
</calcChain>
</file>

<file path=xl/sharedStrings.xml><?xml version="1.0" encoding="utf-8"?>
<sst xmlns="http://schemas.openxmlformats.org/spreadsheetml/2006/main" count="7181" uniqueCount="1507">
  <si>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</si>
  <si>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</si>
  <si>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</si>
  <si>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</si>
  <si>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</si>
  <si>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</si>
  <si>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</si>
  <si>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</si>
  <si>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</si>
  <si>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</si>
  <si>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</si>
  <si>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</si>
  <si>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</si>
  <si>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»________________2020 г.</t>
  </si>
  <si>
    <t>«    »________________2020 г.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</si>
  <si>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</si>
  <si>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</si>
  <si>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</si>
  <si>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01-01-01</t>
  </si>
  <si>
    <t>Арендная плата за земельные участки</t>
  </si>
  <si>
    <t>01-05-01</t>
  </si>
  <si>
    <t>Первоначальная очистка от снега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</si>
  <si>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</si>
  <si>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</si>
  <si>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</si>
  <si>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Пассажирская подвесная канатная дорога EL3</t>
  </si>
  <si>
    <t>02-02</t>
  </si>
  <si>
    <t>Нижняя станция пассажирской подвесной канатной дороги EL3</t>
  </si>
  <si>
    <t>02-03</t>
  </si>
  <si>
    <t>Верхняя станция пассажирской подвесной канатной дороги EL3</t>
  </si>
  <si>
    <t>Итого по Главе 2. "Основные объекты строительства"</t>
  </si>
  <si>
    <t>Глава 4. Объекты энергетического хозяйства</t>
  </si>
  <si>
    <t>04-01</t>
  </si>
  <si>
    <t>Трансформаторная подстанция ТП-КД-6</t>
  </si>
  <si>
    <t>04-02-01</t>
  </si>
  <si>
    <t>Система электроснабжения. Внутриплощадочные сети 10 кВ</t>
  </si>
  <si>
    <t>04-03-01</t>
  </si>
  <si>
    <t>Система электроснабжения. Внутриплощадочные сети 0,4 кВ</t>
  </si>
  <si>
    <t>Итого по Главе 4. "Объекты энергетического хозяйства"</t>
  </si>
  <si>
    <t>Глава 5. Объекты транспортного хозяйства и связи</t>
  </si>
  <si>
    <t>05-01-01</t>
  </si>
  <si>
    <t>Итого по Главе 5. "Объекты транспортного хозяйства и связи"</t>
  </si>
  <si>
    <t>Глава 7. Благоустройство и озеленение территории</t>
  </si>
  <si>
    <t>07-01-01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</si>
  <si>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</si>
  <si>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</si>
  <si>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</si>
  <si>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п.4.9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</si>
  <si>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</si>
  <si>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</si>
  <si>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</si>
  <si>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09-01-01</t>
  </si>
  <si>
    <t>Размещение на полигоне строительного мусора и отходов</t>
  </si>
  <si>
    <t>09-03-01</t>
  </si>
  <si>
    <t>Расчет платы за негативное воздействие на окружающую среду</t>
  </si>
  <si>
    <t>09-06-01</t>
  </si>
  <si>
    <t>09-11</t>
  </si>
  <si>
    <t>09-12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</si>
  <si>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</si>
  <si>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</si>
  <si>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</si>
  <si>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Постан. Прав-ва РФ № 468 от 21.06.2010</t>
  </si>
  <si>
    <t>Строительный контроль 1,72%</t>
  </si>
  <si>
    <t>Итого по Главе 10. "Содержание службы заказчика. Строительный контроль"</t>
  </si>
  <si>
    <t>Сводная смета №12-01</t>
  </si>
  <si>
    <t>Сводная смета №12-02</t>
  </si>
  <si>
    <t>Смета №12-02-04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</si>
  <si>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</si>
  <si>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</si>
  <si>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Непредвиденные затраты</t>
  </si>
  <si>
    <t>МДС 81-35.2004 п.4.96</t>
  </si>
  <si>
    <t>Итого "Непредвиденные затраты"</t>
  </si>
  <si>
    <t>МДС 81-35.2004 п.4.100</t>
  </si>
  <si>
    <t>Акционерное общество "Курорты Северного кавказа"</t>
  </si>
  <si>
    <t>«Всесезонный туристско-рекреационный комплекс «Эльбрус», 
Кабардино-Балкарская Республика. Пассажирская подвесная канатная дорога EL3»</t>
  </si>
  <si>
    <t>Налог на добавленную стоимость - 20%</t>
  </si>
  <si>
    <t>Генеральный директор ООО "Мегаполис"</t>
  </si>
  <si>
    <t xml:space="preserve">  Е.Н. Плетнев</t>
  </si>
  <si>
    <t>(должность)</t>
  </si>
  <si>
    <t xml:space="preserve">(подпись) </t>
  </si>
  <si>
    <t>(расшифровка)</t>
  </si>
  <si>
    <t>Согласовано:</t>
  </si>
  <si>
    <t>Заказчик</t>
  </si>
  <si>
    <t xml:space="preserve">Директор Департамента развития инфраструктуры АО «КСК»           </t>
  </si>
  <si>
    <t>В.В. Лапухин</t>
  </si>
  <si>
    <t>(по доверенности №1410 от 19.02.2019)</t>
  </si>
  <si>
    <t xml:space="preserve">____________________________________________АО «КСК»           </t>
  </si>
  <si>
    <t>Всего по сводному сметному расчету в текущих ценах по состоянию на
 4 квартал 2019г.</t>
  </si>
  <si>
    <t>ГСН-81-05-02-2007 п.11.4</t>
  </si>
  <si>
    <t xml:space="preserve">Пересчет в текущие цены 4 квартала 2019 г. 
Письмо Министерства Строительства и Жилищно-Коммунального хозяйства Российской Федерации (Минстрой России) №46999-ДВ/09 от 09.12.2019г. Северо-Кавказский федеральный округ, графа Кабардино-Балкарская Республика, Строка "Объекты спортивного назначения" Индекс изменения стоимости СМР - 6,99. Индекс изменения стоимости ПНР - 12,36. Индекс изменения стоимости на изыскательские работы 4,35. Индекс изменения стоимости на проектные работы 4,27. 
Письмо Министерства Строительства и Жилищно-Коммунального хозяйства Российской Федерации (Минстрой России) №50583-ДВ/09 от 25.12.2019г. Индекс изменения стоимости прочих затрат по строке 30 "Объекты непроизводственного назначения"(Приложение 2) - 10,79. Индекс изменения стоимости оборудования по строке 30 "Объекты непроизводственного назначения (Приложение 3) - 4,09. 
Ki - коэффициент, отражающий инфляционные процессы по сравнению с 1 января 2001 г. - 5,29
</t>
  </si>
  <si>
    <t>Резерв средств на непредвиденные работы 2% от итога глав 1-12</t>
  </si>
  <si>
    <t>Итого по сводному расчету в базисном уровне цен 2001 (на 01.01.2000г.)</t>
  </si>
  <si>
    <t>Экспертиза проектной и сметной документации</t>
  </si>
  <si>
    <t>Итого  по сводному сметному расчету в текущих ценах по состоянию на 4 квартал 2019г. с учетом непредвиденных затрат</t>
  </si>
  <si>
    <t>Глава 12. Публичный технологический и ценовой аудит, проектные и изыскательские работы</t>
  </si>
  <si>
    <t>в т.ч. справочно
стоимость проектно-изыскательских работ:</t>
  </si>
  <si>
    <t xml:space="preserve">Составлен в базисном уровне цен 2001 (на 01.01.2000г.) с индексацией в уровень цен на IV кв. 2019г. </t>
  </si>
  <si>
    <t>Временные здания и сооружения - 2,3%</t>
  </si>
  <si>
    <t>Пусконаладочные работы "вхолостую"</t>
  </si>
  <si>
    <t>12-03-01</t>
  </si>
  <si>
    <t>Пусконаладочные работы  48,93*1,02*12,36 тыс.руб</t>
  </si>
  <si>
    <t>12-01-06</t>
  </si>
  <si>
    <t>Внутриплощадочные сети связи ВСС</t>
  </si>
  <si>
    <t>08-01-01</t>
  </si>
  <si>
    <t>Устройство временных дорог</t>
  </si>
  <si>
    <t>Производство работ в зимнее время - 0,5%</t>
  </si>
  <si>
    <t>09-02-01</t>
  </si>
  <si>
    <t>Работы по содержанию временных дорог</t>
  </si>
  <si>
    <t>Монтажные работы 971,71*6,99 тыс. руб.</t>
  </si>
  <si>
    <t>Оборудование 65095,77*4,09 тыс. руб.</t>
  </si>
  <si>
    <t>09-05-01</t>
  </si>
  <si>
    <t>Расчет затрат, связанных с командированием рабочих</t>
  </si>
  <si>
    <t>Затраты на выполнение работ по обследованию территории на наличие ВОП</t>
  </si>
  <si>
    <t xml:space="preserve">Затраты на проведение производственного экологического мониторинга. </t>
  </si>
  <si>
    <t xml:space="preserve">Затраты на проведение геотехнического мониторинга </t>
  </si>
  <si>
    <t>Строительные работ 5079,73*6,99 тыс.руб.</t>
  </si>
  <si>
    <t>Сводный сметный расчет в сумме 91992,25 тыс. руб.</t>
  </si>
  <si>
    <t xml:space="preserve">Изыскательские работы </t>
  </si>
  <si>
    <t xml:space="preserve">Проектные работы </t>
  </si>
  <si>
    <t xml:space="preserve">Разработка рабочей документации  </t>
  </si>
  <si>
    <t>Экспертиза проектной документации тыс. руб.</t>
  </si>
  <si>
    <t>Прочие работы по Гл1 (0,04*10,79*1,02+25,81*1,266*4,35*1,02) тыс.руб</t>
  </si>
  <si>
    <t>Прочие работы по Гл9, кроме ПНР ((23,98+45,03+549,27)*10,79*1,02
+(25,63+1597,27)*1,266*4,35*1,02) тыс.руб</t>
  </si>
  <si>
    <t>Прочие работы по Гл10 (1270,84*10,79*1,02) тыс.руб</t>
  </si>
  <si>
    <t>Изыскательские работы (920,93*1,266*4,35*1,02) тыс. руб.</t>
  </si>
  <si>
    <t>Проектные работы (346,55*1,19*4,27*1,02) тыс. руб.</t>
  </si>
  <si>
    <t>Рабочая документация (400,04*1,19*4,27*1,02) тыс. руб.</t>
  </si>
  <si>
    <t>Сводный сметный расчет в сумме 419118,45 тыс. руб. на IV кв. 2019г.</t>
  </si>
  <si>
    <t>ПИР в базисном уровне цен</t>
  </si>
  <si>
    <t>ПИР в текущих цена</t>
  </si>
  <si>
    <t>Схема планировочной организации земельного участка</t>
  </si>
  <si>
    <t>946743,67-25810</t>
  </si>
  <si>
    <t xml:space="preserve">
746588,35-400040</t>
  </si>
  <si>
    <t>Оборудование</t>
  </si>
  <si>
    <t>Прочие</t>
  </si>
  <si>
    <t>Итого:</t>
  </si>
  <si>
    <t>В текущем уровне цен 4 квартала 2019 г., руб. (РД-4,27, ГРО-4,35 СМР-6,99, Оборудование - 4,09, ПНР-12,36, прочие - 10,79 по письмам Минстроя России от 09.12.2019 N 46999-ДВ/09;
от 25.12.2019 № 50583-ДВ/09) с учетом временных зданий и сооружений и удорожания работ в зимнее время.</t>
  </si>
  <si>
    <t>02-01-01</t>
  </si>
  <si>
    <t>Технологические решения. Пассажирская подвесная канатная дорога EL3</t>
  </si>
  <si>
    <t>02-01-02</t>
  </si>
  <si>
    <t>Конструктивные решения.  Пассажирская подвесная канатная дорога EL3.</t>
  </si>
  <si>
    <t>02-01-03</t>
  </si>
  <si>
    <t>Система электроснабжения. Молниезащита и заземление.</t>
  </si>
  <si>
    <t>02-01-04</t>
  </si>
  <si>
    <t>Комплексная система безопасности. Пассажирская подвесная канатная дорога EL3</t>
  </si>
  <si>
    <t>4.1</t>
  </si>
  <si>
    <t>4.2</t>
  </si>
  <si>
    <t>4.3</t>
  </si>
  <si>
    <t>4.4</t>
  </si>
  <si>
    <t>02-02-01</t>
  </si>
  <si>
    <t>Конструктивные решения. Нижняя станция. Пассажирская подвесная канатная дорога EL3.</t>
  </si>
  <si>
    <t>02-02-02</t>
  </si>
  <si>
    <t>Конструктивные и объемно-планировочные решения. Нижняя операторская станция канатной дороги.</t>
  </si>
  <si>
    <t>02-02-03</t>
  </si>
  <si>
    <t>Архитектурные решения. Операторская нижней станций канатной дороги EL3</t>
  </si>
  <si>
    <t>02-02-04</t>
  </si>
  <si>
    <t>Отопление, вентиляция и кондиционирование воздуха, тепловые сети. Операторскиая нижней станции канатной дороги EL3</t>
  </si>
  <si>
    <t>02-02-05</t>
  </si>
  <si>
    <t>Система электроснабжения. Операторская нижней станций канатной дороги EL3</t>
  </si>
  <si>
    <t>02-02-06</t>
  </si>
  <si>
    <t>Технологические решения (мебель). Нижняя станция пассажирской подвесной канатной дороги EL3</t>
  </si>
  <si>
    <t>02-02-07</t>
  </si>
  <si>
    <t>Система обеспечения пожарной безопасности. Нижняя станция пассажирской подвесной канатной дороги EL3</t>
  </si>
  <si>
    <t>02-02-08</t>
  </si>
  <si>
    <t>Сети связи. Нижняя станция пассажирской подвесной канатной дороги EL3</t>
  </si>
  <si>
    <t>02-02-09</t>
  </si>
  <si>
    <t>Комплексная система безопасности. Нижняя станция пассажирской подвесной канатной дороги EL3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</si>
  <si>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</si>
  <si>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</si>
  <si>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</si>
  <si>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</si>
  <si>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</si>
  <si>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</si>
  <si>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</si>
  <si>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</si>
  <si>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</si>
  <si>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</si>
  <si>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</si>
  <si>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</si>
  <si>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</si>
  <si>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</si>
  <si>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</si>
  <si>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</si>
  <si>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</si>
  <si>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</si>
  <si>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04-01-01</t>
  </si>
  <si>
    <t>Конструктивные и объемно-планировочные решения ТП-КД-6.</t>
  </si>
  <si>
    <t>04-01-02</t>
  </si>
  <si>
    <t>Система электроснабжения.</t>
  </si>
  <si>
    <t>7.1</t>
  </si>
  <si>
    <t>7.2</t>
  </si>
  <si>
    <t>09-11-01</t>
  </si>
  <si>
    <t>Пусконаладочные работы. Внутриплощадочные сети 10 кВ ЭС1.</t>
  </si>
  <si>
    <t>09-11-02</t>
  </si>
  <si>
    <t>Пусконаладочные работы. Внутриплощадочные сети 0,4 кВ ЭС3.</t>
  </si>
  <si>
    <t>09-11-03</t>
  </si>
  <si>
    <t>Пусконаладочные работы. БКТП ЭС2.</t>
  </si>
  <si>
    <t>09-11-04</t>
  </si>
  <si>
    <t>Пусконаладочные работы. МПБ2.</t>
  </si>
  <si>
    <t>09-11-05</t>
  </si>
  <si>
    <t>Пусконаладочные работы. НСКД ЭС4.</t>
  </si>
  <si>
    <t>09-11-06</t>
  </si>
  <si>
    <t>Пусконаладочные работы. ВСКД ЭС4.</t>
  </si>
  <si>
    <t>20.1</t>
  </si>
  <si>
    <t>20.2</t>
  </si>
  <si>
    <t>20.3</t>
  </si>
  <si>
    <t>20.4</t>
  </si>
  <si>
    <t>20.5</t>
  </si>
  <si>
    <t>20.6</t>
  </si>
  <si>
    <t>Геотехнический мониторинг (геодезические работы)</t>
  </si>
  <si>
    <t>Геотехнический мониторинг (геологические работы)</t>
  </si>
  <si>
    <t>09-12-01</t>
  </si>
  <si>
    <t>09-12-02</t>
  </si>
  <si>
    <t>21.1</t>
  </si>
  <si>
    <t>21.2</t>
  </si>
  <si>
    <t>ПОЯСНИТЕЛЬНАЯ ЗАПИСКА</t>
  </si>
  <si>
    <t>К РАСЧЕТУ НАЧАЛЬНОЙ МАКСИМАЛЬНОЙ ЦЕНЫ ДОГОВОРА</t>
  </si>
  <si>
    <t xml:space="preserve">Начальная максимальная цена договора ( далее - НМЦД) определена в соответствии с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</si>
  <si>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Расчет стоимости проектных работ и строительства выполнен проектно- сметным методом.</t>
  </si>
  <si>
    <t>Описание метода расчета стоимости проектных работ</t>
  </si>
  <si>
    <t>Индекс пересчета в текущие цены  на  4 квартал 2019 г. принят согласно Письму Минстроя РФ от 09.12.19 N 46999-ДВ/09</t>
  </si>
  <si>
    <t>Индекс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 по данным Росстата РФ;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</si>
  <si>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РФ.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</si>
  <si>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</si>
  <si>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>Описание метода расчета стоимости изыскательских работ</t>
  </si>
  <si>
    <t>Индекс пересчета в текущие цены  на  4 квартал 2019 г. принят согласно Письму Минстроя РФ от 09.12.19 N 46999-ДВ/09.</t>
  </si>
  <si>
    <t>Описание метода расчета стоимости строительства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</si>
  <si>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 по данным Росстата РФ;</t>
  </si>
  <si>
    <t>В расчете учтены непредвиденные затраты в размере 2 %.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</si>
  <si>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</si>
  <si>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</si>
  <si>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</si>
  <si>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по объекту «Всесезонный туристско-рекреационный комплекс «Эльбрус», 
Кабардино-Балкарская Республика. Пассажирская подвесная канатная дорога EL3»</t>
  </si>
  <si>
    <t>Цена работ учитывает все затраты Подрядчика, включая стоимость приобретения материалов и оборудования поставки Подрядчика, стоимость строительно-монтажных и пусконаладочных работ, прочих затрат согласно перечню затрат, учтенному сводным сметным расчетом стоимости строительства, накладных расходов, сметной прибыли, затраты на строительство временных зданий и сооружений, возврат от разборки временных зданий и сооружений, затраты на удорожание работ в зимнее время, резерв средств на непредвиденные работы и затраты, инфляционную составляющую, налог на добавленную стоимость в размере 20%.</t>
  </si>
  <si>
    <t>Индексы пересчета в текущие цены  на  4 квартал 2019 г. приняты согласно Письмам Минстроя РФ от 09.12.19 N 46999-ДВ/09, от 25.12.19 №50583-ДВ/09.</t>
  </si>
  <si>
    <t>02-03-01</t>
  </si>
  <si>
    <t>02-03-02</t>
  </si>
  <si>
    <t>02-03-03</t>
  </si>
  <si>
    <t>02-03-04</t>
  </si>
  <si>
    <t>02-03-05</t>
  </si>
  <si>
    <t>02-03-06</t>
  </si>
  <si>
    <t>02-03-07</t>
  </si>
  <si>
    <t>02-03-08</t>
  </si>
  <si>
    <t>02-03-09</t>
  </si>
  <si>
    <t>Ведомость объемов конструктивных решений (элементов) и комплексов (видов) работ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</si>
  <si>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</si>
  <si>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</si>
  <si>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</si>
  <si>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</si>
  <si>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Рабочая документация</t>
  </si>
  <si>
    <t>комплекс</t>
  </si>
  <si>
    <t>1.1</t>
  </si>
  <si>
    <t>Разработка проектной документации (стадия "Рабочая документация")</t>
  </si>
  <si>
    <t>2</t>
  </si>
  <si>
    <t>Строительство (строительно-монтажные работы, оборудование, прочие затраты)</t>
  </si>
  <si>
    <t>2.1</t>
  </si>
  <si>
    <t>2.1.1</t>
  </si>
  <si>
    <t>2.1.2</t>
  </si>
  <si>
    <t>Общестроительные работы</t>
  </si>
  <si>
    <t>2.2</t>
  </si>
  <si>
    <t>2.2.1</t>
  </si>
  <si>
    <t>2.2.1.1</t>
  </si>
  <si>
    <t>м3</t>
  </si>
  <si>
    <t>2.2.1.2</t>
  </si>
  <si>
    <t>02-01-01 п.5</t>
  </si>
  <si>
    <t>Рыхление гидромолотом на базе экскаватора скального грунта 6 группы</t>
  </si>
  <si>
    <t>2.2.1.3</t>
  </si>
  <si>
    <t>2.2.1.4</t>
  </si>
  <si>
    <t>2.2.1.5</t>
  </si>
  <si>
    <t>2.2.1.6</t>
  </si>
  <si>
    <t>2.2.1.7</t>
  </si>
  <si>
    <t>м2</t>
  </si>
  <si>
    <t>2.2.1.8</t>
  </si>
  <si>
    <t>2.2.1.9</t>
  </si>
  <si>
    <t>2.2.1.10</t>
  </si>
  <si>
    <t>2.2.1.11</t>
  </si>
  <si>
    <t>2.2.2</t>
  </si>
  <si>
    <t>2.3</t>
  </si>
  <si>
    <t>2.3.1</t>
  </si>
  <si>
    <t>Земляные работы</t>
  </si>
  <si>
    <t>2.3.2</t>
  </si>
  <si>
    <t>2.4</t>
  </si>
  <si>
    <t>2.4.1</t>
  </si>
  <si>
    <t>шт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</si>
  <si>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</si>
  <si>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</si>
  <si>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</si>
  <si>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</si>
  <si>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</si>
  <si>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</si>
  <si>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</si>
  <si>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</si>
  <si>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2.5</t>
  </si>
  <si>
    <t>2.6</t>
  </si>
  <si>
    <t>2.7</t>
  </si>
  <si>
    <t>3</t>
  </si>
  <si>
    <t>Пусконаладочные работы</t>
  </si>
  <si>
    <t>3.1</t>
  </si>
  <si>
    <t>3.2</t>
  </si>
  <si>
    <t>3.3</t>
  </si>
  <si>
    <t>Составил:</t>
  </si>
  <si>
    <t>Проверил:</t>
  </si>
  <si>
    <t>Всесезонный туристско-рекреационный комплекс «Эльбрус», 
Кабардино-Балкарская Республика. Пассажирская подвесная канатная дорога EL3</t>
  </si>
  <si>
    <t>02-01-01 п.1</t>
  </si>
  <si>
    <t>Канат тягово-несущий кольцевой пассажирской подвесной канатной дороги диам. 40 мм</t>
  </si>
  <si>
    <t>шт.</t>
  </si>
  <si>
    <t>Профилактическая подвеска для обслуживания ППКД</t>
  </si>
  <si>
    <t>02-01-01 п.2</t>
  </si>
  <si>
    <t>Приводная (верхняя) станция ППКД</t>
  </si>
  <si>
    <t>Станция верхняя с площадками посадки/высадки</t>
  </si>
  <si>
    <t>02-01-01 п.3</t>
  </si>
  <si>
    <t>02-01-01 п.4</t>
  </si>
  <si>
    <t>2.2.2.1</t>
  </si>
  <si>
    <t>2.2.2.2</t>
  </si>
  <si>
    <t>2.2.2.3</t>
  </si>
  <si>
    <t>2.2.3</t>
  </si>
  <si>
    <t>Обводная (нижняя) станция</t>
  </si>
  <si>
    <t>Станция нижняя с площадками посадки/высадки</t>
  </si>
  <si>
    <t>02-01-01 п.6</t>
  </si>
  <si>
    <t>2.2.3.1</t>
  </si>
  <si>
    <t>2.2.3.2</t>
  </si>
  <si>
    <t>02-01-01 п.7</t>
  </si>
  <si>
    <t>Обводной шкив диам. 4900 мм</t>
  </si>
  <si>
    <t>Линейные опоры и оборудование</t>
  </si>
  <si>
    <t>2.2.4</t>
  </si>
  <si>
    <t>02-01-01 п.8</t>
  </si>
  <si>
    <t>2.2.4.1</t>
  </si>
  <si>
    <t>02-01-01 п.9</t>
  </si>
  <si>
    <t>Балансиры роликовые</t>
  </si>
  <si>
    <t>Рабочие площадки (правая/левая)</t>
  </si>
  <si>
    <t>Траверса основная</t>
  </si>
  <si>
    <t>Траверса технологическая</t>
  </si>
  <si>
    <t>2.2.4.2</t>
  </si>
  <si>
    <t>2.2.4.3</t>
  </si>
  <si>
    <t>2.2.4.4</t>
  </si>
  <si>
    <t>2.2.4.5</t>
  </si>
  <si>
    <t>2.2.4.6</t>
  </si>
  <si>
    <t>2.2.4.7</t>
  </si>
  <si>
    <t>2.2.4.8</t>
  </si>
  <si>
    <t>Земляные работы. Котлованы К1-К4</t>
  </si>
  <si>
    <t>Выемка грунта с вывозом во временный отвал</t>
  </si>
  <si>
    <t>02-01-02 п.1</t>
  </si>
  <si>
    <t>02-01-02 п.2-5</t>
  </si>
  <si>
    <t>Обратная засыпка</t>
  </si>
  <si>
    <t>не учтен завоз грунта из временного отвала</t>
  </si>
  <si>
    <t>02-01-02 п.6-9</t>
  </si>
  <si>
    <t>Фундамент Ф1</t>
  </si>
  <si>
    <t>Фундамент Ф2</t>
  </si>
  <si>
    <t>Фундамент Ф3</t>
  </si>
  <si>
    <t>46 м3</t>
  </si>
  <si>
    <t>36 м3</t>
  </si>
  <si>
    <t>44 м3</t>
  </si>
  <si>
    <t>Фундамент Ф4</t>
  </si>
  <si>
    <t>02-01-03 п.1</t>
  </si>
  <si>
    <t>Выемка грунта в отвал</t>
  </si>
  <si>
    <t>02-01-03 п.2, 4</t>
  </si>
  <si>
    <t>02-01-03 п.3</t>
  </si>
  <si>
    <t>02-01-03 п.6-8</t>
  </si>
  <si>
    <t>Прокладка трубопровода из трубы ПВХ электротехнической тяжелой д.100 мм DKS</t>
  </si>
  <si>
    <t>Прокладка трубопровода из трубы ПВХ электротехнической тяжелой д.160 мм DKS</t>
  </si>
  <si>
    <t>02-01-03 п.9, 10, 22</t>
  </si>
  <si>
    <t>02-01-03 п.9, 10, 13</t>
  </si>
  <si>
    <t>позиции сметы не перенумерованы.</t>
  </si>
  <si>
    <t>м</t>
  </si>
  <si>
    <t>Монтажные работы</t>
  </si>
  <si>
    <t>02-01-03 п.14-15</t>
  </si>
  <si>
    <t>02-01-03 п.16-17</t>
  </si>
  <si>
    <t>Заземлитель горизонтальный из стали: полосовой оцинкованной сечением 160 мм2</t>
  </si>
  <si>
    <t>02-01-03 п.18-19</t>
  </si>
  <si>
    <t>Термошкаф серии ТНВМ55 ТНВМ55-100.60.25-142</t>
  </si>
  <si>
    <t>02-01-04 п.1-3</t>
  </si>
  <si>
    <t>Извещатель охранный объемный радиоволновый АГАТ- СПБУ</t>
  </si>
  <si>
    <t>02-01-04 п.4-5</t>
  </si>
  <si>
    <t>Извещатель магнитоконтактный SC555</t>
  </si>
  <si>
    <t>02-01-04 п.6-7</t>
  </si>
  <si>
    <t>Прибор приемно-контрольный охранной сигнализации, тип Сигнал-10</t>
  </si>
  <si>
    <t>02-01-04 п.8-9</t>
  </si>
  <si>
    <t>Прибор приемно-контрольный охранно-пожарный, марка: "C2000-Ethernet"</t>
  </si>
  <si>
    <t>02-01-04 п.10-11</t>
  </si>
  <si>
    <t>Светильник 150-265В AC, 31Вт, 3000лм, IP67, –60 до +60 °С Plant 03-25-31</t>
  </si>
  <si>
    <t>02-01-04 п.12-13</t>
  </si>
  <si>
    <t>IP уличная буллет видеокамера с ИК-подсветкой в комплекте с монтажной коробкой DS-2CD2622FWD-IS</t>
  </si>
  <si>
    <t>02-01-04 п.14-15</t>
  </si>
  <si>
    <t>Неуправляемый коммутатор  SNR-S1908G-2S</t>
  </si>
  <si>
    <t>Программмирование коммутатора</t>
  </si>
  <si>
    <t>02-01-04 п.17</t>
  </si>
  <si>
    <t>02-01-04 п.16, 18</t>
  </si>
  <si>
    <t>Двухволоконный модуль, SFP 1000BaseLX, разъем LC SNR-SFP-LX-20-DDM</t>
  </si>
  <si>
    <t>02-01-04 п.19, 20</t>
  </si>
  <si>
    <t>Блок питания 24В SDR-75-24</t>
  </si>
  <si>
    <t>Блок питания 12В SDR-75-12</t>
  </si>
  <si>
    <t>02-01-04 п.21, 22</t>
  </si>
  <si>
    <t>02-01-04 п.21, 23</t>
  </si>
  <si>
    <t>Преобразователь напряжения RSD-100B-12</t>
  </si>
  <si>
    <t>02-01-04 п.24, 25</t>
  </si>
  <si>
    <t>Фотореле на Din-рейку, выносной фотодатчик, 12-264 В AC/DC, 16А AZ-BU</t>
  </si>
  <si>
    <t>02-01-04 п.26, 27</t>
  </si>
  <si>
    <t>Хомут с кронштейнами для установки оборудования на опору канатной дороги</t>
  </si>
  <si>
    <t>02-01-04 п.28</t>
  </si>
  <si>
    <t>Устройство грозозащиты SP-IP4/100</t>
  </si>
  <si>
    <t>02-01-04 п.30, 31</t>
  </si>
  <si>
    <t>Рукава металлические диаметром: 32 мм РЗ-Ц-Х</t>
  </si>
  <si>
    <t>02-01-04 п.32, 33</t>
  </si>
  <si>
    <t>стоимость хомутов с кронштейнами не учтена.</t>
  </si>
  <si>
    <t>Труба стальная по установленным конструкциям Ду25 мм, толщина стенки 3,2 мм</t>
  </si>
  <si>
    <t>02-01-04 п.35, 36</t>
  </si>
  <si>
    <t>Разъем RJ-45 8P8C</t>
  </si>
  <si>
    <t>02-01-04 п.38, 39</t>
  </si>
  <si>
    <t>не требуется и невозможно. Коммутатор неуправляемый. Настраивается автоматически.</t>
  </si>
  <si>
    <t>Кабель 1,0 кВ (ГОСТ Р 53769-2010), марки: ВВГнг(A)-LS 3х1,5ок</t>
  </si>
  <si>
    <t>02-01-04 п.40, 41</t>
  </si>
  <si>
    <t>Кабель UTP4-C5E-SOLID-OUTDOOR-40-500</t>
  </si>
  <si>
    <t>02-01-04 п.40, 42</t>
  </si>
  <si>
    <t>Кабель КЭВВнг(А)-LS 2х0,75</t>
  </si>
  <si>
    <t>02-01-04 п.40, 43</t>
  </si>
  <si>
    <t>Кабель КЭВВнг(А)-LS 4х0.5</t>
  </si>
  <si>
    <t>02-01-04 п.40, 44</t>
  </si>
  <si>
    <t>Фундамент Ф0</t>
  </si>
  <si>
    <t>Разработка грунта 6 группы экскаватором в отвал</t>
  </si>
  <si>
    <t>Разработка грунта 6 группы экскаватором с погрузкой в автосамосвал и вывозом во временный отвал</t>
  </si>
  <si>
    <t>02-02-02 п.3-5</t>
  </si>
  <si>
    <t>02-02-02 п.2</t>
  </si>
  <si>
    <t>02-02-02 п.1</t>
  </si>
  <si>
    <t>02-02-02 п.6, 7</t>
  </si>
  <si>
    <t>Фундамент. Операторская нижней станции КД</t>
  </si>
  <si>
    <t>7,85 м3</t>
  </si>
  <si>
    <t>02-02-02 п.8-24</t>
  </si>
  <si>
    <t>Отмостка. Операторская нижней станции КД</t>
  </si>
  <si>
    <t>02-02-02 п.25-29</t>
  </si>
  <si>
    <t>Конструкции кровли</t>
  </si>
  <si>
    <t>02-02-02 п.30-37</t>
  </si>
  <si>
    <t>МК 0,0966 т, деревянные конструкции 0,61 м3</t>
  </si>
  <si>
    <t>Блок контейнер - операторская 2.4х4х2.7м</t>
  </si>
  <si>
    <t>Устройство металлических ограждений</t>
  </si>
  <si>
    <t>02-02-03 п.11, 12</t>
  </si>
  <si>
    <t>Наружная отделка стен (установка и разборка лесов, изоляция стен, облицовка сайдингом по металлокаркасу)</t>
  </si>
  <si>
    <t>02-02-03 п.3-10</t>
  </si>
  <si>
    <t>02-02-03 п.1-2</t>
  </si>
  <si>
    <t>Облицовка фасада фиброцементными панелями</t>
  </si>
  <si>
    <t>02-02-03 п.13, 14</t>
  </si>
  <si>
    <t>Облицовка цоколя натуральным камнем</t>
  </si>
  <si>
    <t>02-02-03 п.15-17</t>
  </si>
  <si>
    <t>02-02-03 п.18-32</t>
  </si>
  <si>
    <t>Кровля</t>
  </si>
  <si>
    <t>Водоотводные лотки RECYFIX STANDARD 200 тип: 020 размером 1000х260х235 мм</t>
  </si>
  <si>
    <t>Блок оконный с двухкамерным стеклопакетом 2,5 х 1,2 м</t>
  </si>
  <si>
    <t>02-02-03 п.33, 34</t>
  </si>
  <si>
    <t>02-02-03 п.35, 36</t>
  </si>
  <si>
    <t>Блок оконный с двухкамерным стеклопакетом 0,7 х 1,2 м</t>
  </si>
  <si>
    <t>02-02-03 п.37, 38</t>
  </si>
  <si>
    <t>Подоконники ПВХ шириной 300 мм</t>
  </si>
  <si>
    <t>02-02-03 п.39, 40</t>
  </si>
  <si>
    <t>Блок дверной стальной наружный площадь 2,1 м2 (ГОСТ 31173-2003) с доводчиком DS 73 BC "Серия Premium", усилие закрывания EN2-5</t>
  </si>
  <si>
    <t>02-02-03 п.41-46</t>
  </si>
  <si>
    <t>02-02-03 п.47-68</t>
  </si>
  <si>
    <t xml:space="preserve">Полы (теплоизоляция, пароизоляция, стяжка с армированием, линолеум на клее, плинтус, порожки) </t>
  </si>
  <si>
    <t>Внутренняя отделка стен</t>
  </si>
  <si>
    <t>02-02-03 п.69-78</t>
  </si>
  <si>
    <t>Внутренняя отделка потолков</t>
  </si>
  <si>
    <t>02-02-03 п.79-84</t>
  </si>
  <si>
    <t>Отопление, вентиляция и кондиционирование воздуха, тепловые сети. Операторская нижней станции канатной дороги EL3</t>
  </si>
  <si>
    <t>Конвектор электрический настенный N=750 Вт</t>
  </si>
  <si>
    <t>02-02-04 п.1, 2</t>
  </si>
  <si>
    <t>Вводно-распределительное устройство ~3х380 В, 50 Гц, навесного  исполнения, ВхШхГ 600х600х250 мм, IP31</t>
  </si>
  <si>
    <t>02-02-05 п.1, 2</t>
  </si>
  <si>
    <t>Распределительный щит ~3х380 В, 50 Гц, навесного исполнения, ВхШхГ 650х500х220 мм, IP54, красный</t>
  </si>
  <si>
    <t>02-02-05 п.3, 4</t>
  </si>
  <si>
    <t>Строительные работы. НСКД</t>
  </si>
  <si>
    <t>02-02-05 п.5-17</t>
  </si>
  <si>
    <t>Монтажные работы. НСКД</t>
  </si>
  <si>
    <t>02-02-05 п.18-47</t>
  </si>
  <si>
    <t>Заземление. НСКД</t>
  </si>
  <si>
    <t>02-02-05 п.48-54</t>
  </si>
  <si>
    <t>Рабочая станция на металлокаркасе
Габаритные размеры – 2400х600х750 мм
Арт. А4 Б2 003-2 БП
Россия</t>
  </si>
  <si>
    <t>02-02-06 п.1, 2</t>
  </si>
  <si>
    <t>Шкаф для одежды одностворчатый
Габаритные размеры – 400х500х1860 мм
Арт. 11400
Россия</t>
  </si>
  <si>
    <t>02-02-06 п.1, 3</t>
  </si>
  <si>
    <t>Кресло
Габаритные размеры – 560х820х1230 мм
Менеджер ТГ
Артикул 3382
Россия</t>
  </si>
  <si>
    <t>02-02-06 п.1, 4</t>
  </si>
  <si>
    <t>Автоматическая установка пожарной сигнализации (НСКД)</t>
  </si>
  <si>
    <t>02-02-07 п.1-43</t>
  </si>
  <si>
    <t>Система оповещения и управления эвакуацией (НСКД)</t>
  </si>
  <si>
    <t>02-02-07 п.44-54</t>
  </si>
  <si>
    <t>Система оповещения пассажиров канатной дороги (НСКД)</t>
  </si>
  <si>
    <t>02-02-07 п.55-81</t>
  </si>
  <si>
    <t>НСКД Структурированная кабельная сеть. Система передачи данных</t>
  </si>
  <si>
    <t>02-02-08 п.1-42</t>
  </si>
  <si>
    <t>НСКД Система часофикации</t>
  </si>
  <si>
    <t>02-02-08 п.43-53</t>
  </si>
  <si>
    <t>НСКД Платежно-пропускная система</t>
  </si>
  <si>
    <t>02-02-08 п.54-70</t>
  </si>
  <si>
    <t>СОТ  (НСКД)</t>
  </si>
  <si>
    <t>02-02-09 п.1-51</t>
  </si>
  <si>
    <t>СОТС (НСКД)</t>
  </si>
  <si>
    <t>02-02-09 п.52-59</t>
  </si>
  <si>
    <t>Фундамент Ф5</t>
  </si>
  <si>
    <t>02-03-01 п.1-10</t>
  </si>
  <si>
    <t>68 м3</t>
  </si>
  <si>
    <t>Земляные работы. Операторская верхней станции КД.</t>
  </si>
  <si>
    <t>02-03-02 п.1</t>
  </si>
  <si>
    <t>Выемка грунта 6 группы в отвал</t>
  </si>
  <si>
    <t>Выемка грунта 6 группы с погрузкой в автосамосвал и вывозом во временный отвал</t>
  </si>
  <si>
    <t>02-03-02 п.2</t>
  </si>
  <si>
    <t>02-03-02 п.3-5</t>
  </si>
  <si>
    <t>02-03-02 п.6-8</t>
  </si>
  <si>
    <t>Фундамент</t>
  </si>
  <si>
    <t>37,1 м3</t>
  </si>
  <si>
    <t>02-03-02 п.9-25</t>
  </si>
  <si>
    <t>Отмостка</t>
  </si>
  <si>
    <t>02-03-02 п.26-30</t>
  </si>
  <si>
    <t>02-03-02 п.31-35</t>
  </si>
  <si>
    <t>Стропила 2,41 м3</t>
  </si>
  <si>
    <t>Устройство столбчатых фундаментов посадочной площадки</t>
  </si>
  <si>
    <t>02-03-02 п.36-45</t>
  </si>
  <si>
    <t>9,91 м3</t>
  </si>
  <si>
    <t>Работы по изоляции и герметизации конструкций</t>
  </si>
  <si>
    <t>02-03-02 п.46, 47</t>
  </si>
  <si>
    <t>Металлические конструкции посадочной площадки</t>
  </si>
  <si>
    <t>02-03-02 п.48-59</t>
  </si>
  <si>
    <t>балки 1,414 т, настил 0,909 т</t>
  </si>
  <si>
    <t>Блок контейнер - операторская 2.4х6х2.7м</t>
  </si>
  <si>
    <t>Архитектурные решения. Операторская верхней станции канатной дороги EL3</t>
  </si>
  <si>
    <t>02-03-03 п.1, 2</t>
  </si>
  <si>
    <t>Блок контейнер - электрощитовая 2.5х4.5х2.7м</t>
  </si>
  <si>
    <t>02-03-03 п.1, 3</t>
  </si>
  <si>
    <t>Блок контейнер -  ДГУ 1.2х3.3х2.7м</t>
  </si>
  <si>
    <t>02-03-03 п.1, 4</t>
  </si>
  <si>
    <t>02-03-03 п.5-10</t>
  </si>
  <si>
    <t>Верхняя станция. Наружная отделка стен (установка и разборка лесов, теплоизоляция)</t>
  </si>
  <si>
    <t>Устройство металлических ограждений: без поручней</t>
  </si>
  <si>
    <t>02-03-03 п.11-12</t>
  </si>
  <si>
    <t>Облицовка стен фиброцементными панелями</t>
  </si>
  <si>
    <t>02-03-03 п.13, 14</t>
  </si>
  <si>
    <t>02-03-03 п.15-17</t>
  </si>
  <si>
    <t>Облицовка стен контейнеров натуральным камнем толщиной 130-140 мм на клею</t>
  </si>
  <si>
    <t>толщина облицовки фасада камнем 140 мм!!!</t>
  </si>
  <si>
    <t>Облицовка цоколя натуральным камнем на клею</t>
  </si>
  <si>
    <t>02-03-03 п.18-20</t>
  </si>
  <si>
    <t>Верхняя станция. Кровля</t>
  </si>
  <si>
    <t>02-03-03 п.21-29</t>
  </si>
  <si>
    <t>02-03-03 п.30, 31</t>
  </si>
  <si>
    <t>Блок оконный с двухкамерным стеклопакетом 2х1,2 м</t>
  </si>
  <si>
    <t>02-03-03 п.32, 33</t>
  </si>
  <si>
    <t>Блок оконный с двухкамерным стеклопакетом 0,8 х 1,2 м</t>
  </si>
  <si>
    <t>02-03-03 п.34, 35</t>
  </si>
  <si>
    <t>02-03-03 п.36, 37</t>
  </si>
  <si>
    <t>Блок дверной стальной наружный, площадь 2,1 м2 (ГОСТ 31173-2003) с доводчиком DS 73 BC "Серия Premium", усилие закрывания EN2-5</t>
  </si>
  <si>
    <t>02-03-03 п.38-43</t>
  </si>
  <si>
    <t>02-03-03 п.44, 45</t>
  </si>
  <si>
    <t>Блок дверной внутренний 0,8х2,1 м (ГОСТ 30970-2002)</t>
  </si>
  <si>
    <t>Блок дверной внутренний 1х2,1 м (ГОСТ 30970-2002)</t>
  </si>
  <si>
    <t>Люк металлический противопожарный (EI60) 0,9х2,1 м (в полу электрощитовой)</t>
  </si>
  <si>
    <t>02-03-03 п.46-49</t>
  </si>
  <si>
    <t>02-03-03 п.50, 51</t>
  </si>
  <si>
    <t>Ворота металлические утепленные в ДГУ</t>
  </si>
  <si>
    <t>учтены в смете применительно как "ВР 3030-УХ Л1" без уточнения марки согласно проекту.</t>
  </si>
  <si>
    <t>Верхняя станция. Внутренняя отделка. Полы (теплоизоляция, гидроизоляция пленкой, стяжка с армированием)</t>
  </si>
  <si>
    <t>Покрытие пола в электрощитовой: керамическая плитка, плинтус из плиток керамических, алюминиевые порожки</t>
  </si>
  <si>
    <t>Покрытие пола: линолеум на клее, плинтус ПВХ, алюминиевые порожки</t>
  </si>
  <si>
    <t>Покрытие пола с/у в операторской: покрытие керамической плиткой, плинтус из плиток керамогранитных, алюминиевые порожки)</t>
  </si>
  <si>
    <t>02-03-03 п.52-61</t>
  </si>
  <si>
    <t>02-03-03 п.62-73</t>
  </si>
  <si>
    <t>02-03-03 п.74-79</t>
  </si>
  <si>
    <t>02-03-03 п.80-85</t>
  </si>
  <si>
    <t>Верхняя станция. Внутренняя отделка. Стены</t>
  </si>
  <si>
    <t>Перегородки в операторской для С/У</t>
  </si>
  <si>
    <t>02-03-03 п.86-91</t>
  </si>
  <si>
    <t>Биотуалет торфяной "Компакт Амер Турбо"</t>
  </si>
  <si>
    <t>Сантехника в С/У</t>
  </si>
  <si>
    <t>Раковины: РСВ-1 стальные эмалированные с отъемной спинкой с креплениями, с сифоном СБПУНВСУМ, с краном водоразборным КВ-15Д, размером 500х400х410 мм</t>
  </si>
  <si>
    <t>02-03-03 п.92-93</t>
  </si>
  <si>
    <t>02-03-03 п.94-97</t>
  </si>
  <si>
    <t>Операторская, электрощитовая, ДГУ (теплоизоляция на клее с креплением дюбелями, облицовка ГКЛ по металлокаркасу, окраска)</t>
  </si>
  <si>
    <t>02-03-03 п.98-109</t>
  </si>
  <si>
    <t>Сайдинг металлический по металлокаркасу</t>
  </si>
  <si>
    <t>02-03-03 п.110-111</t>
  </si>
  <si>
    <t>02-03-03 п.112-117</t>
  </si>
  <si>
    <t>для чего крепить теплоизоляцию на клее и дюбелями в металлокаркасе, облицованном ГКЛ?</t>
  </si>
  <si>
    <t>Верхняя станция. Внутренняя отделка. Потолки (ГКЛ+окраска)</t>
  </si>
  <si>
    <t>Конвектор электрический настенный N=500 Вт</t>
  </si>
  <si>
    <t>Система отопления</t>
  </si>
  <si>
    <t>Конвектор электрический настенный N=1000 Вт</t>
  </si>
  <si>
    <t>02-03-04 п.1, 2</t>
  </si>
  <si>
    <t>02-03-04 п.1, 3</t>
  </si>
  <si>
    <t>02-03-04 п.1, 4</t>
  </si>
  <si>
    <t>Система общеобменной вентиляции</t>
  </si>
  <si>
    <t>02-03-04 п.5-18</t>
  </si>
  <si>
    <t>Щитовое оборудование. ВСКД</t>
  </si>
  <si>
    <t>02-03-05 п.1, 2</t>
  </si>
  <si>
    <t>02-03-05 п.3, 4</t>
  </si>
  <si>
    <t>Строительные работы. ВСКД</t>
  </si>
  <si>
    <t>02-03-05 п.5-17</t>
  </si>
  <si>
    <t>Монтажные работы. ВСКД</t>
  </si>
  <si>
    <t>02-03-05 п.18-52</t>
  </si>
  <si>
    <t>Заземление. ВСКД</t>
  </si>
  <si>
    <t>02-03-05 п.53-60</t>
  </si>
  <si>
    <t>Технологические решения (мебель). Верхняя станция пассажирской подвесной канатной дороги EL3</t>
  </si>
  <si>
    <t>02-03-06 п.1, 2</t>
  </si>
  <si>
    <t>02-03-06 п.1, 3</t>
  </si>
  <si>
    <t>02-03-06 п.1, 4</t>
  </si>
  <si>
    <t>неправильное наименование сметы. (было указано "Нижняя станция")</t>
  </si>
  <si>
    <t>Система обеспечения пожарной безопасности. Верхняя станция пассажирской подвесной канатной дороги EL3</t>
  </si>
  <si>
    <t>Автоматическая установка пожарной сигнализации (ВСКД)</t>
  </si>
  <si>
    <t>Система оповещения и управления эвакуацией (ВСКД)</t>
  </si>
  <si>
    <t>02-03-07 п.1-43</t>
  </si>
  <si>
    <t>02-03-07 п.44-54</t>
  </si>
  <si>
    <t>Автоматическая установка порошкового пожаротушения (ВСКД)</t>
  </si>
  <si>
    <t>02-03-07 п.142-174</t>
  </si>
  <si>
    <t>ошибка в наименовании объекта. Было указано "Нижняя станция". Неправильная нумерация позиций в смете.</t>
  </si>
  <si>
    <t>Запасные изделия и приспособления (ЗИП) (ВСКД)</t>
  </si>
  <si>
    <t>Модуль порошкового пожаротушения МПП-8У (Буран-8У)</t>
  </si>
  <si>
    <t>Извещатель пожарный тепловой: ИП 105-1D "Сауна"</t>
  </si>
  <si>
    <t>Извещатель охранный контактный: ИО 102-20/Б2М</t>
  </si>
  <si>
    <t>неправильный вид работ. (Монтаж оборудования. )Необходимо отнести к оборудованию.</t>
  </si>
  <si>
    <t>02-03-07 п.175</t>
  </si>
  <si>
    <t>02-03-07 п.176</t>
  </si>
  <si>
    <t>02-03-07 п.177</t>
  </si>
  <si>
    <t>ВСКД Структурированная кабельная сеть. Система передачи данных</t>
  </si>
  <si>
    <t>02-03-08 п.1-38</t>
  </si>
  <si>
    <t>Сети связи. Верхняя станция пассажирской подвесной канатной дороги EL3</t>
  </si>
  <si>
    <t>ВСКД Система часофикации</t>
  </si>
  <si>
    <t>02-03-08 п.39-49</t>
  </si>
  <si>
    <t>Комплексная система безопасности. Верхняя станция пассажирской подвесной канатной дороги EL3</t>
  </si>
  <si>
    <t>ВСКД. СОТ</t>
  </si>
  <si>
    <t>02-03-09 п.1-37</t>
  </si>
  <si>
    <t>ВСКД СОТС</t>
  </si>
  <si>
    <t>02-03-09 п.38-45</t>
  </si>
  <si>
    <t>04-01-01 п.1-8</t>
  </si>
  <si>
    <t>Фундаментная плита</t>
  </si>
  <si>
    <t>04-01-01 п.9-36</t>
  </si>
  <si>
    <t>Заделка стыков модулей.</t>
  </si>
  <si>
    <t>04-01-01 п.37, 38</t>
  </si>
  <si>
    <t>04-01-01 п.39-42</t>
  </si>
  <si>
    <t>Монтаж металлических лестниц  ТП-КД-6</t>
  </si>
  <si>
    <t>04-01-01 п.43-48</t>
  </si>
  <si>
    <t>Устройство кабельных вводов</t>
  </si>
  <si>
    <t>04-01-01 п.49-59</t>
  </si>
  <si>
    <t>Устройство отмостки</t>
  </si>
  <si>
    <t>04-01-01 п.60-67</t>
  </si>
  <si>
    <t>Заземление  БКТП</t>
  </si>
  <si>
    <t>04-01-02 п.1-4</t>
  </si>
  <si>
    <t>Блочная модульная трансформаторная подстанция 2х1000 кВА в комплекте с 1 силовым тр-орм Trihal-160/10</t>
  </si>
  <si>
    <t>04-01-02 п.5-13</t>
  </si>
  <si>
    <t>04-02-01 п.1</t>
  </si>
  <si>
    <t>Выемка грунта</t>
  </si>
  <si>
    <t>04-02-01 п.2-8</t>
  </si>
  <si>
    <t>учтена разработка вручную грунта 4 группы а затем погрузка этого же грунта экскаватором, но уже 6 группы. При повторной разработке группа грунта должна понижаться.</t>
  </si>
  <si>
    <t>объем рыхления выше, чем объем выемки.</t>
  </si>
  <si>
    <t>04-02-01 п.9-10</t>
  </si>
  <si>
    <t>Прокладка трубы PS PE-RT Тип II SDR11 - 160х14,6</t>
  </si>
  <si>
    <t>какое отношение "прокладка трубы" имеет к земляным работам?</t>
  </si>
  <si>
    <t>04-02-01 п.12-14</t>
  </si>
  <si>
    <t>04-02-01 п.15-34</t>
  </si>
  <si>
    <t>04-03-01 п.1</t>
  </si>
  <si>
    <t>Разработка грунта</t>
  </si>
  <si>
    <t>04-03-01 п.2-7</t>
  </si>
  <si>
    <t>04-03-01 п.8-9</t>
  </si>
  <si>
    <t>Прокладка трубы PS PE-RT Тип II SDR11 - 110х10.0</t>
  </si>
  <si>
    <t>04-03-01 п.10-12</t>
  </si>
  <si>
    <t>04-03-01 п.13-35</t>
  </si>
  <si>
    <t>Площадка нижней станции ППКД</t>
  </si>
  <si>
    <t>Рыхление гидромолотом на базе экскаватора скального грунта 10 группы</t>
  </si>
  <si>
    <t>07-01-01 п.2</t>
  </si>
  <si>
    <t>07-01-01 п.3-5</t>
  </si>
  <si>
    <t>Разбивка и планировка участка</t>
  </si>
  <si>
    <t>07-01-01 п.1, 6</t>
  </si>
  <si>
    <t>Разработка грунта 9 группы с погрузкой в автосамосвалы и перевозкой на расстояние до 1 км</t>
  </si>
  <si>
    <t>07-01-01 п.7-11</t>
  </si>
  <si>
    <t>Устройство корыта и щебеночной отсыпки толщиной 10 см (из местного щебня)</t>
  </si>
  <si>
    <t>Площадка верхней станции ППКД</t>
  </si>
  <si>
    <t>07-01-01 п.12, 18</t>
  </si>
  <si>
    <t>Рыхление гидромолотом на базе экскаватора скального грунта 10 группы и перемещение грунта бульдозером на расстояние до 10 м</t>
  </si>
  <si>
    <t>07-01-01 п.13, 14</t>
  </si>
  <si>
    <t>не учтена перевозка грунта.</t>
  </si>
  <si>
    <t>07-01-01 п.15</t>
  </si>
  <si>
    <t>Разработка с перемещением грунта бульдозером на расстояние до 10 м</t>
  </si>
  <si>
    <t>07-01-01 п.16</t>
  </si>
  <si>
    <t>Уплотнение грунта</t>
  </si>
  <si>
    <t>07-01-01 п.17</t>
  </si>
  <si>
    <t>объем уплотнения грунта не соответствует объему засыпки грунта.</t>
  </si>
  <si>
    <t>07-01-01 п.19-23</t>
  </si>
  <si>
    <t>Примечания</t>
  </si>
  <si>
    <t>08-01-01 п.1-2</t>
  </si>
  <si>
    <t>08-01-01 п.3</t>
  </si>
  <si>
    <t>для чего вынимается грунт на толщину 1 м?</t>
  </si>
  <si>
    <t>08-01-01 п.4-5</t>
  </si>
  <si>
    <t>08-01-01 п.6-9</t>
  </si>
  <si>
    <t xml:space="preserve">п.6: Принята расценка на устройство тросово-сетчатого ограждения (для лавинозащитных сооружений), не соответствующая типу ограждения по проекту (дорожное тросовое ограждение).
П.7-9: - учтен необоснованный расход материалов - не соответствует проекту.
- не учтен коэффициент оборачиваемости металлоконструкций ограждения.
</t>
  </si>
  <si>
    <t>Дорожные тросовые ограждения барьерного типа высотой 1,1 м</t>
  </si>
  <si>
    <t>Площадка технологическая ВСКД</t>
  </si>
  <si>
    <t>08-01-01 п.10-12</t>
  </si>
  <si>
    <t>Зоны складирования и сборки НСКД</t>
  </si>
  <si>
    <t>08-01-01 п.13-15</t>
  </si>
  <si>
    <t>Зоны складирования и сборки ВСКД</t>
  </si>
  <si>
    <t>08-01-01 п.16-18</t>
  </si>
  <si>
    <t>Другие вспомогательные зоны НСКД</t>
  </si>
  <si>
    <t>Планировка площадей бульдозером и уплотнение грунта</t>
  </si>
  <si>
    <t>08-01-01 п.19-21</t>
  </si>
  <si>
    <t>Другие вспомогательные зоны ВСКД</t>
  </si>
  <si>
    <t>08-01-01 п.22-24</t>
  </si>
  <si>
    <t>Технологические дороги и подъездные пути НСКД</t>
  </si>
  <si>
    <t>08-01-01 п.25-27</t>
  </si>
  <si>
    <t>Технологические дороги и подъездные пути к опоре ТО3</t>
  </si>
  <si>
    <t>08-01-01 п.28-30</t>
  </si>
  <si>
    <t>Планировка дорожной полосы</t>
  </si>
  <si>
    <t xml:space="preserve">Ширина 6м
Длина 293пм
</t>
  </si>
  <si>
    <t>Разработка, погрузка и транспортировка срезанного
грунта автосамосвалами во временный
отвал на расстояние до 0,6км</t>
  </si>
  <si>
    <t>Устройство дорожного покрытия из
щебня (местного щебенистого грунта при
возможности)</t>
  </si>
  <si>
    <t>в смете учтено устройство покрытия толщиной 30 см площадью 618 м2.</t>
  </si>
  <si>
    <t>Профилирование временных дорог с добавлением местного грунта и уплотнение покрытия катками - 3 раза</t>
  </si>
  <si>
    <t>293пм х 6 м
245 пм х 3,5 м
175 пм х 3,5 м
В объеме учтено выполнение работ 3 раза.
В смете учтено устройство временных дорог в объеме 1239*7,5=9292,5 м2</t>
  </si>
  <si>
    <t>ВСКД</t>
  </si>
  <si>
    <t>09-11-04 п.1, 2</t>
  </si>
  <si>
    <t>09-11-04 п.3, 4</t>
  </si>
  <si>
    <t>НСКД</t>
  </si>
  <si>
    <t>4-местные неотцепляемые кресла ППКД</t>
  </si>
  <si>
    <t>Смещаемая натяжная тележка</t>
  </si>
  <si>
    <t>Гидравлическое натяжное устройство</t>
  </si>
  <si>
    <t>Двигатель</t>
  </si>
  <si>
    <t>Приводной шкив диам. 4900 мм</t>
  </si>
  <si>
    <t>Приводная группа в сборе с тележкой, натяжной группой и двигателем, в том числе:</t>
  </si>
  <si>
    <t xml:space="preserve">расценка ФЕРм03-04-005-01 не соответствует монтируемому оборудованию.
</t>
  </si>
  <si>
    <r>
      <t>Завышение стоимости монтажа:
шкив =(40151-11010)*6,99*1,2=</t>
    </r>
    <r>
      <rPr>
        <b/>
        <sz val="10"/>
        <color rgb="FF0070C0"/>
        <rFont val="Arial Cyr"/>
        <charset val="204"/>
      </rPr>
      <t>244435</t>
    </r>
    <r>
      <rPr>
        <sz val="10"/>
        <color rgb="FF0070C0"/>
        <rFont val="Arial Cyr"/>
        <charset val="204"/>
      </rPr>
      <t xml:space="preserve"> руб. (ФЕРм03-04-022-06)
</t>
    </r>
  </si>
  <si>
    <r>
      <t>Завышение стоимости монтажа тележка+натяжное устройство= (5713-1616)*6,99*1,2=</t>
    </r>
    <r>
      <rPr>
        <b/>
        <sz val="10"/>
        <color rgb="FF0070C0"/>
        <rFont val="Arial Cyr"/>
        <charset val="204"/>
      </rPr>
      <t>34366</t>
    </r>
    <r>
      <rPr>
        <sz val="10"/>
        <color rgb="FF0070C0"/>
        <rFont val="Arial Cyr"/>
        <charset val="204"/>
      </rPr>
      <t xml:space="preserve"> руб.
ФЕРм03-04-022-10</t>
    </r>
  </si>
  <si>
    <r>
      <t>Завышение стоимости монтажа:
двигатель =(3632-1222)*6,99*1,2=</t>
    </r>
    <r>
      <rPr>
        <b/>
        <sz val="10"/>
        <color rgb="FF0070C0"/>
        <rFont val="Arial Cyr"/>
        <charset val="204"/>
      </rPr>
      <t>20215</t>
    </r>
    <r>
      <rPr>
        <sz val="10"/>
        <color rgb="FF0070C0"/>
        <rFont val="Arial Cyr"/>
        <charset val="204"/>
      </rPr>
      <t xml:space="preserve"> руб. (ФЕРм03-04-022-01)
</t>
    </r>
  </si>
  <si>
    <t>Гидравлический тормоз</t>
  </si>
  <si>
    <t>Подвижной состав</t>
  </si>
  <si>
    <r>
      <t xml:space="preserve">В смете учтена масса оборудования 755 кг/шт
- Не учтен коэффициент корректировки по массе оборудования.
</t>
    </r>
    <r>
      <rPr>
        <b/>
        <sz val="10"/>
        <color rgb="FF0070C0"/>
        <rFont val="Arial Cyr"/>
        <charset val="204"/>
      </rPr>
      <t>Завышение стоимости
(68825-48178)*6,99*1,2=173187 руб.</t>
    </r>
  </si>
  <si>
    <t>Масса единицы, кг</t>
  </si>
  <si>
    <t>Аварийный мотор-редуктор</t>
  </si>
  <si>
    <t>Дизель-генераторная установка</t>
  </si>
  <si>
    <t>Аварийный привод, в том числе:</t>
  </si>
  <si>
    <t>Масса всего, кг</t>
  </si>
  <si>
    <t>2.2.1.12</t>
  </si>
  <si>
    <t>2.2.1.13</t>
  </si>
  <si>
    <r>
      <t>учтен вес монтажа 3,7 т
Занижение стоимости =(7340-11010)*6,99*1,2=</t>
    </r>
    <r>
      <rPr>
        <b/>
        <sz val="10"/>
        <color rgb="FF0070C0"/>
        <rFont val="Arial Cyr"/>
        <charset val="204"/>
      </rPr>
      <t xml:space="preserve">-30784 </t>
    </r>
    <r>
      <rPr>
        <sz val="10"/>
        <color rgb="FF0070C0"/>
        <rFont val="Arial Cyr"/>
        <charset val="204"/>
      </rPr>
      <t>руб.</t>
    </r>
  </si>
  <si>
    <t>2.2.1.14</t>
  </si>
  <si>
    <t>Опора линейная T01, высота 5,88 м</t>
  </si>
  <si>
    <t>Опора линейная T02, высота 10,58 м</t>
  </si>
  <si>
    <t>Опора линейная T03, высота 12,30 м</t>
  </si>
  <si>
    <t>Опора линейная T04, высота 10,10 м</t>
  </si>
  <si>
    <t>масса балансиров в спецификации и в смете не соответствует проекту.</t>
  </si>
  <si>
    <t>2.2.1.15</t>
  </si>
  <si>
    <t>2.2.1.16</t>
  </si>
  <si>
    <t>2.2.1.17</t>
  </si>
  <si>
    <t>2.2.1.18</t>
  </si>
  <si>
    <t>2.2.1.19</t>
  </si>
  <si>
    <t>2.2.1.20</t>
  </si>
  <si>
    <t>2.2.1.21</t>
  </si>
  <si>
    <t>2.2.2.4</t>
  </si>
  <si>
    <t>2.2.2.5</t>
  </si>
  <si>
    <t>2.2.2.6</t>
  </si>
  <si>
    <t>2.2.2.7</t>
  </si>
  <si>
    <t>02-01-02 п.10-19</t>
  </si>
  <si>
    <t>02-01-02 п.20-29</t>
  </si>
  <si>
    <t>02-01-02 п.30-39</t>
  </si>
  <si>
    <t>02-01-02 п.40-49</t>
  </si>
  <si>
    <t>2.2.3.3</t>
  </si>
  <si>
    <t>2.2.3.4</t>
  </si>
  <si>
    <t>2.2.3.5</t>
  </si>
  <si>
    <t>2.2.3.6</t>
  </si>
  <si>
    <t>2.2.3.7</t>
  </si>
  <si>
    <t>2.2.3.8</t>
  </si>
  <si>
    <t>2.2.3.9</t>
  </si>
  <si>
    <t>Кабель ВВГнг-LS 1 кВ 4х120 мм2 (в проложенных трубах, блоках и коробах)</t>
  </si>
  <si>
    <t>Кабель ВВГнг-LS 1 кВ 4х35 мм2 (в проложенных трубах, блоках и коробах)</t>
  </si>
  <si>
    <t>2.2.4.9</t>
  </si>
  <si>
    <t>2.2.4.10</t>
  </si>
  <si>
    <t>2.2.4.11</t>
  </si>
  <si>
    <t>2.2.4.12</t>
  </si>
  <si>
    <t>2.2.4.13</t>
  </si>
  <si>
    <t>2.2.4.14</t>
  </si>
  <si>
    <t>2.2.4.15</t>
  </si>
  <si>
    <t>2.2.4.16</t>
  </si>
  <si>
    <t>2.2.4.17</t>
  </si>
  <si>
    <t>2.2.4.18</t>
  </si>
  <si>
    <t>2.2.4.19</t>
  </si>
  <si>
    <t>2.2.4.20</t>
  </si>
  <si>
    <t>2.2.4.21</t>
  </si>
  <si>
    <t>2.2.4.22</t>
  </si>
  <si>
    <t>2.2.4.23</t>
  </si>
  <si>
    <t>2.3.2.1</t>
  </si>
  <si>
    <t>2.3.2.2</t>
  </si>
  <si>
    <t>2.3.2.3</t>
  </si>
  <si>
    <t>2.3.2.4</t>
  </si>
  <si>
    <t>2.3.2.5</t>
  </si>
  <si>
    <t>2.3.2.6</t>
  </si>
  <si>
    <t>2.3.2.7</t>
  </si>
  <si>
    <t>2.3.3</t>
  </si>
  <si>
    <r>
      <t xml:space="preserve">в смете учтен блок-контейнер по цене 1 161 158 руб не соответствующей результатам конъюнктурного анализа цен. Согласно КА рекомендован поставщик ООО "Сантехмонтаж", предложивший наиболее оптимальную цену блок-контейнера 745 500 руб. </t>
    </r>
    <r>
      <rPr>
        <b/>
        <sz val="10"/>
        <color rgb="FF0070C0"/>
        <rFont val="Arial Cyr"/>
        <charset val="204"/>
      </rPr>
      <t>Завышение стоимости составляет 415 658 руб.</t>
    </r>
  </si>
  <si>
    <r>
      <t xml:space="preserve">Учтена стоимость </t>
    </r>
    <r>
      <rPr>
        <u/>
        <sz val="10"/>
        <color rgb="FF0070C0"/>
        <rFont val="Arial Cyr"/>
        <charset val="204"/>
      </rPr>
      <t>готовых</t>
    </r>
    <r>
      <rPr>
        <sz val="10"/>
        <color rgb="FF0070C0"/>
        <rFont val="Arial Cyr"/>
        <charset val="204"/>
      </rPr>
      <t xml:space="preserve"> металлоконструкций + лишние затраты на изготовление металлоконструкций. </t>
    </r>
    <r>
      <rPr>
        <b/>
        <sz val="10"/>
        <color rgb="FF0070C0"/>
        <rFont val="Arial Cyr"/>
        <charset val="204"/>
      </rPr>
      <t>Завышение стоимости составляет 4881*6,99*1,2=40 942 руб.</t>
    </r>
  </si>
  <si>
    <r>
      <t xml:space="preserve">Расход лотков не соответствует объему работ. Учтена стоимость 5 м лотков. </t>
    </r>
    <r>
      <rPr>
        <b/>
        <sz val="10"/>
        <color rgb="FF0070C0"/>
        <rFont val="Arial Cyr"/>
        <charset val="204"/>
      </rPr>
      <t>Завышение стоимости 394,53*6,99*1,2=3309 руб.</t>
    </r>
  </si>
  <si>
    <t>2.3.3.1</t>
  </si>
  <si>
    <t>2.3.3.2</t>
  </si>
  <si>
    <t>2.3.3.3</t>
  </si>
  <si>
    <t>2.3.3.4</t>
  </si>
  <si>
    <t>2.3.3.5</t>
  </si>
  <si>
    <t>2.3.3.6</t>
  </si>
  <si>
    <t>2.3.3.7</t>
  </si>
  <si>
    <t>2.3.3.8</t>
  </si>
  <si>
    <t>2.3.3.9</t>
  </si>
  <si>
    <t>2.3.3.10</t>
  </si>
  <si>
    <t>2.3.3.11</t>
  </si>
  <si>
    <t>2.3.3.12</t>
  </si>
  <si>
    <t>2.3.3.13</t>
  </si>
  <si>
    <t>2.3.3.14</t>
  </si>
  <si>
    <t>2.3.4</t>
  </si>
  <si>
    <t>2.3.4.1</t>
  </si>
  <si>
    <t>2.3.5</t>
  </si>
  <si>
    <t>2.3.5.1</t>
  </si>
  <si>
    <t>2.3.5.2</t>
  </si>
  <si>
    <t>2.3.5.3</t>
  </si>
  <si>
    <t>2.3.5.4</t>
  </si>
  <si>
    <t>2.3.5.5</t>
  </si>
  <si>
    <t>2.3.6</t>
  </si>
  <si>
    <t>2.3.6.1</t>
  </si>
  <si>
    <t>2.3.6.2</t>
  </si>
  <si>
    <t>2.3.6.3</t>
  </si>
  <si>
    <t>2.3.7</t>
  </si>
  <si>
    <t>2.3.7.1</t>
  </si>
  <si>
    <t>2.3.7.2</t>
  </si>
  <si>
    <t>2.3.7.3</t>
  </si>
  <si>
    <t>2.3.8</t>
  </si>
  <si>
    <t>2.3.8.1</t>
  </si>
  <si>
    <t>2.3.8.2</t>
  </si>
  <si>
    <t>2.3.8.3</t>
  </si>
  <si>
    <t>2.3.9</t>
  </si>
  <si>
    <t>2.3.9.1</t>
  </si>
  <si>
    <t>2.3.9.2</t>
  </si>
  <si>
    <t>2.4.1.1</t>
  </si>
  <si>
    <t>2.4.2.1</t>
  </si>
  <si>
    <t>Конструктивные и объемно-планировочные решения. Верхняя операторская станция канатной дороги.</t>
  </si>
  <si>
    <t>2.4.2.2</t>
  </si>
  <si>
    <t>2.4.2.3</t>
  </si>
  <si>
    <t>2.4.2.4</t>
  </si>
  <si>
    <t>2.4.2.5</t>
  </si>
  <si>
    <t>2.4.2.6</t>
  </si>
  <si>
    <t>2.4.2.7</t>
  </si>
  <si>
    <t>2.4.2.8</t>
  </si>
  <si>
    <t>2.4.2.9</t>
  </si>
  <si>
    <t>2.4.2.10</t>
  </si>
  <si>
    <t>2.4.3.1</t>
  </si>
  <si>
    <t>2.4.3.2</t>
  </si>
  <si>
    <t>2.4.3.3</t>
  </si>
  <si>
    <t>2.4.3.4</t>
  </si>
  <si>
    <t>2.4.3.5</t>
  </si>
  <si>
    <t>2.4.3.6</t>
  </si>
  <si>
    <t>2.4.3.7</t>
  </si>
  <si>
    <t>2.4.3.8</t>
  </si>
  <si>
    <t>2.4.3.9</t>
  </si>
  <si>
    <t>2.4.3.10</t>
  </si>
  <si>
    <t>2.4.3.11</t>
  </si>
  <si>
    <t>2.4.3.12</t>
  </si>
  <si>
    <t>2.4.3.13</t>
  </si>
  <si>
    <t>2.4.3.14</t>
  </si>
  <si>
    <t>2.4.3.15</t>
  </si>
  <si>
    <t>2.4.3.16</t>
  </si>
  <si>
    <t>2.4.3.17</t>
  </si>
  <si>
    <t>2.4.3.18</t>
  </si>
  <si>
    <t>2.4.3.19</t>
  </si>
  <si>
    <t>2.4.3.20</t>
  </si>
  <si>
    <t>2.4.3.21</t>
  </si>
  <si>
    <t>2.4.3.22</t>
  </si>
  <si>
    <t>2.4.3.23</t>
  </si>
  <si>
    <t>2.4.3.24</t>
  </si>
  <si>
    <t>2.4.3.25</t>
  </si>
  <si>
    <t>2.4.3.26</t>
  </si>
  <si>
    <t>2.4.3.27</t>
  </si>
  <si>
    <t>2.4.3.28</t>
  </si>
  <si>
    <r>
      <t xml:space="preserve">в смете учтен блок-контейнер по цене 1213908 руб не соответствующей результатам конъюнктурного анализа цен. Согласно КА рекомендован поставщик ООО "Сантехмонтаж", предложивший наиболее оптимальную цену блок-контейнера 1030750 руб. </t>
    </r>
    <r>
      <rPr>
        <b/>
        <sz val="10"/>
        <color rgb="FF0070C0"/>
        <rFont val="Arial Cyr"/>
        <charset val="204"/>
      </rPr>
      <t>Завышение стоимости составляет 183 158 руб.</t>
    </r>
  </si>
  <si>
    <r>
      <t xml:space="preserve">в смете учтен блок-контейнер по цене 1100160 руб не соответствующей результатам конъюнктурного анализа цен. Согласно КА рекомендован поставщик ООО "Сантехмонтаж", предложивший наиболее оптимальную цену блок-контейнера 775250 руб. </t>
    </r>
    <r>
      <rPr>
        <b/>
        <sz val="10"/>
        <color rgb="FF0070C0"/>
        <rFont val="Arial Cyr"/>
        <charset val="204"/>
      </rPr>
      <t>Завышение стоимости составляет 324 910 руб.</t>
    </r>
  </si>
  <si>
    <r>
      <t xml:space="preserve">в смете учтен блок-контейнер по цене 869658 руб не соответствующей результатам конъюнктурного анализа цен. Согласно КА рекомендован поставщик ООО "Сантехмонтаж", предложивший наиболее оптимальную цену блок-контейнера 364000 руб. </t>
    </r>
    <r>
      <rPr>
        <b/>
        <sz val="10"/>
        <color rgb="FF0070C0"/>
        <rFont val="Arial Cyr"/>
        <charset val="204"/>
      </rPr>
      <t>Завышение стоимости составляет 505658 руб.</t>
    </r>
  </si>
  <si>
    <r>
      <t xml:space="preserve">Расход лотков не соответствует объему работ. Учтена стоимость 18 м лотков. </t>
    </r>
    <r>
      <rPr>
        <b/>
        <sz val="10"/>
        <color rgb="FF0070C0"/>
        <rFont val="Arial Cyr"/>
        <charset val="204"/>
      </rPr>
      <t>Завышение стоимости 2*394,53*6,99*1,2=6619 руб.</t>
    </r>
  </si>
  <si>
    <t>2.4.4.1</t>
  </si>
  <si>
    <t>2.4.4.2</t>
  </si>
  <si>
    <t>2.4.4.3</t>
  </si>
  <si>
    <t>2.4.4.4</t>
  </si>
  <si>
    <t>2.4.5.1</t>
  </si>
  <si>
    <t>2.4.5.2</t>
  </si>
  <si>
    <t>2.4.5.3</t>
  </si>
  <si>
    <t>2.4.5.4</t>
  </si>
  <si>
    <t>2.4.5.5</t>
  </si>
  <si>
    <t>Система электроснабжения. Операторская верхней станции канатной дороги EL3</t>
  </si>
  <si>
    <t>Отопление, вентиляция и кондиционирование воздуха, тепловые сети. Операторскиая верхней станции канатной дороги EL3</t>
  </si>
  <si>
    <t>2.4.6.1</t>
  </si>
  <si>
    <t>2.4.6.2</t>
  </si>
  <si>
    <t>2.4.6.3</t>
  </si>
  <si>
    <t>2.4.7.1</t>
  </si>
  <si>
    <t>2.4.7.2</t>
  </si>
  <si>
    <t>2.4.7.3</t>
  </si>
  <si>
    <t>2.4.7.4</t>
  </si>
  <si>
    <t>2.4.7.5</t>
  </si>
  <si>
    <t>2.4.7.6</t>
  </si>
  <si>
    <t>2.4.8.1</t>
  </si>
  <si>
    <t>2.4.8.2</t>
  </si>
  <si>
    <t>2.4.9.1</t>
  </si>
  <si>
    <t>2.4.9.2</t>
  </si>
  <si>
    <t>2.5.1</t>
  </si>
  <si>
    <t>2.5.1.1</t>
  </si>
  <si>
    <t>2.5.1.2</t>
  </si>
  <si>
    <t>2.5.1.3</t>
  </si>
  <si>
    <t>2.5.1.4</t>
  </si>
  <si>
    <t>2.5.1.5</t>
  </si>
  <si>
    <t>2.5.1.6</t>
  </si>
  <si>
    <t>2.5.1.7</t>
  </si>
  <si>
    <t>2.5.2</t>
  </si>
  <si>
    <t>2.5.2.1</t>
  </si>
  <si>
    <t>2.5.2.2</t>
  </si>
  <si>
    <t>2.6.1</t>
  </si>
  <si>
    <t>2.6.2</t>
  </si>
  <si>
    <t>2.6.3</t>
  </si>
  <si>
    <t>2.6.4</t>
  </si>
  <si>
    <t>2.6.5</t>
  </si>
  <si>
    <r>
      <t xml:space="preserve">какое отношение "прокладка трубы" имеет к земляным работам?
Расход трубы 262 м не соответствует объему работ. </t>
    </r>
    <r>
      <rPr>
        <b/>
        <sz val="10"/>
        <color rgb="FF0070C0"/>
        <rFont val="Arial Cyr"/>
        <charset val="204"/>
      </rPr>
      <t>Завышение стоимости 1868,92*4=7475,68 руб.</t>
    </r>
  </si>
  <si>
    <t>2.7.1</t>
  </si>
  <si>
    <t>2.7.2</t>
  </si>
  <si>
    <t>2.7.3</t>
  </si>
  <si>
    <t>2.7.4</t>
  </si>
  <si>
    <t>2.7.5</t>
  </si>
  <si>
    <t>2.8</t>
  </si>
  <si>
    <t>2.9</t>
  </si>
  <si>
    <t>2.9.1</t>
  </si>
  <si>
    <t>2.9.2</t>
  </si>
  <si>
    <t>2.9.3</t>
  </si>
  <si>
    <t>2.9.4</t>
  </si>
  <si>
    <r>
      <t xml:space="preserve">учтен коэффициент на горные условия К=1,5 к расценке на перевозку ФССЦпг.
</t>
    </r>
    <r>
      <rPr>
        <b/>
        <sz val="10"/>
        <color rgb="FF0070C0"/>
        <rFont val="Arial Cyr"/>
        <charset val="204"/>
      </rPr>
      <t>Завышение стоимости (22262-14825)*6,99*1,2= 62382 руб.</t>
    </r>
  </si>
  <si>
    <t>2.9.5</t>
  </si>
  <si>
    <t>2.9.6</t>
  </si>
  <si>
    <t>2.9.7</t>
  </si>
  <si>
    <t>2.9.8</t>
  </si>
  <si>
    <t>2.9.9</t>
  </si>
  <si>
    <t>2.9.10</t>
  </si>
  <si>
    <t>2.10</t>
  </si>
  <si>
    <t>2.10.1</t>
  </si>
  <si>
    <t>2.10.2</t>
  </si>
  <si>
    <t>2.10.3</t>
  </si>
  <si>
    <t>2.10.4</t>
  </si>
  <si>
    <t>2.10.5</t>
  </si>
  <si>
    <t>2.10.6</t>
  </si>
  <si>
    <t>2.10.7</t>
  </si>
  <si>
    <t>2.10.8</t>
  </si>
  <si>
    <t>2.10.9</t>
  </si>
  <si>
    <t>2.10.10</t>
  </si>
  <si>
    <t>2.10.11</t>
  </si>
  <si>
    <t>2.11</t>
  </si>
  <si>
    <t>2.12</t>
  </si>
  <si>
    <t>2.13</t>
  </si>
  <si>
    <t>2.14</t>
  </si>
  <si>
    <t>2.15</t>
  </si>
  <si>
    <t>2.16</t>
  </si>
  <si>
    <t>2.16.1</t>
  </si>
  <si>
    <t>2.16.2</t>
  </si>
  <si>
    <t>2.17</t>
  </si>
  <si>
    <t>3.1.1</t>
  </si>
  <si>
    <t>3.1.2</t>
  </si>
  <si>
    <t>3.1.3</t>
  </si>
  <si>
    <t>3.1.4</t>
  </si>
  <si>
    <t>3.1.4.1</t>
  </si>
  <si>
    <t>3.1.4.2</t>
  </si>
  <si>
    <t>3.1.5</t>
  </si>
  <si>
    <t>3.1.6</t>
  </si>
  <si>
    <t>1.2</t>
  </si>
  <si>
    <t>График производства работ</t>
  </si>
  <si>
    <t>начало</t>
  </si>
  <si>
    <t>окончание</t>
  </si>
  <si>
    <t>количество дней</t>
  </si>
  <si>
    <t xml:space="preserve">Подготовительные работы
</t>
  </si>
  <si>
    <t>исключить. Данный объем работ не предусмотрен проектом.</t>
  </si>
  <si>
    <t>Фундаменты НСКД (включая операторскую НСКД) и опоры Т01</t>
  </si>
  <si>
    <t>Фундамент Ф1 опоры Т01</t>
  </si>
  <si>
    <t>Котлован под операторскую НСКД</t>
  </si>
  <si>
    <t>Котлован К1 под НСКД и опору Т01</t>
  </si>
  <si>
    <t>Фундаменты опор Т02 и Т03</t>
  </si>
  <si>
    <t>Фундамент Ф0 НСКД</t>
  </si>
  <si>
    <t>Фундамент Ф2 опоры Т02</t>
  </si>
  <si>
    <t>Фундамент Ф3 опоры Т03</t>
  </si>
  <si>
    <t>Котлован К2 под опору Т02</t>
  </si>
  <si>
    <t>Котлован К3 под опору Т03</t>
  </si>
  <si>
    <t>Фундаменты ВСКД (включая операторскую ВСКД) и опоры Т04</t>
  </si>
  <si>
    <t>Отмостка. Операторская ВСКД</t>
  </si>
  <si>
    <t>Фундамент. Операторская ВСКД</t>
  </si>
  <si>
    <t>Фундамент Ф4 опоры Т04</t>
  </si>
  <si>
    <t>Земляные работы (Котлован К4 под опору Т04 и ВСКД)</t>
  </si>
  <si>
    <t>Фундамент Ф5 ВСКД</t>
  </si>
  <si>
    <t xml:space="preserve">Монтаж зданий операторских (включая помещение ДГУ) </t>
  </si>
  <si>
    <t xml:space="preserve">Прокладка КЛ 10 кВ и 0,4 кВ </t>
  </si>
  <si>
    <t>Монтаж КСБ на опорах</t>
  </si>
  <si>
    <t xml:space="preserve">Монтаж кресел </t>
  </si>
  <si>
    <t>ПНР ППКД</t>
  </si>
  <si>
    <t>ПНР КТП</t>
  </si>
  <si>
    <t>Операторская НСКД</t>
  </si>
  <si>
    <t>Операторская ВСКД</t>
  </si>
  <si>
    <t>Система электроснабжения</t>
  </si>
  <si>
    <t>Архитектурные решения</t>
  </si>
  <si>
    <t>Деревянные конструкции</t>
  </si>
  <si>
    <t>Металлоконструкции</t>
  </si>
  <si>
    <t>т</t>
  </si>
  <si>
    <t>02-02-02 п.30-34</t>
  </si>
  <si>
    <t>02-02-02 п.35-37</t>
  </si>
  <si>
    <t>Мебель</t>
  </si>
  <si>
    <t>Конструктивные и объемно-планировочные решения</t>
  </si>
  <si>
    <t>Деревянные конструкции кровли</t>
  </si>
  <si>
    <t>Устройство столбчатых железобетонных фундаментов посадочной площадки</t>
  </si>
  <si>
    <t>Внутриплощадочные сети 10 кВ</t>
  </si>
  <si>
    <t>Внутриплощадочные сети 0,4 кВ</t>
  </si>
  <si>
    <t>Монтаж трансформаторной подстанции ТП-КД-6</t>
  </si>
  <si>
    <t>Отопление и вентиляция</t>
  </si>
  <si>
    <t>Система обеспечения пожарной безопасности</t>
  </si>
  <si>
    <t>Сети связи</t>
  </si>
  <si>
    <t>Комплексная система безопасности</t>
  </si>
  <si>
    <t>СОТ</t>
  </si>
  <si>
    <t>СОТС</t>
  </si>
  <si>
    <t>Монтаж ВСКД (приводной)</t>
  </si>
  <si>
    <t>Монтаж НСКД (обводной) и линейных опор</t>
  </si>
  <si>
    <t>Автоматическая установка пожарной сигнализации</t>
  </si>
  <si>
    <t>Система оповещения и управления эвакуацией</t>
  </si>
  <si>
    <t>Система оповещения пассажиров канатной дороги</t>
  </si>
  <si>
    <t>Структурированная кабельная сеть. Система передачи данных</t>
  </si>
  <si>
    <t>Система часофикации</t>
  </si>
  <si>
    <t>Платежно-пропускная система</t>
  </si>
  <si>
    <t>Схема планировочной организации земельного участка. Площадка верхней станции ППКД</t>
  </si>
  <si>
    <t>Схема планировочной организации земельного участка. Площадка нижней станции ППКД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</si>
  <si>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</si>
  <si>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</si>
  <si>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</si>
  <si>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</si>
  <si>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</si>
  <si>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</si>
  <si>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</si>
  <si>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</si>
  <si>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</si>
  <si>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</si>
  <si>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2.2.5</t>
  </si>
  <si>
    <t>2.2.6</t>
  </si>
  <si>
    <t>2.2.7</t>
  </si>
  <si>
    <t>2.2.8</t>
  </si>
  <si>
    <t>2.2.9</t>
  </si>
  <si>
    <t>2.2.10</t>
  </si>
  <si>
    <t>2.2.11</t>
  </si>
  <si>
    <t>2.4.10</t>
  </si>
  <si>
    <t>2.4.11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</si>
  <si>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</si>
  <si>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</si>
  <si>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</si>
  <si>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</si>
  <si>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</si>
  <si>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</si>
  <si>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</si>
  <si>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</si>
  <si>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</si>
  <si>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</si>
  <si>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</si>
  <si>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</si>
  <si>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</si>
  <si>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</si>
  <si>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</si>
  <si>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</si>
  <si>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</si>
  <si>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</si>
  <si>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</si>
  <si>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</si>
  <si>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</si>
  <si>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</si>
  <si>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</si>
  <si>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</si>
  <si>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</si>
  <si>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</si>
  <si>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</si>
  <si>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</si>
  <si>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2.6.14</t>
  </si>
  <si>
    <t>2.6.15</t>
  </si>
  <si>
    <t>2.6.16</t>
  </si>
  <si>
    <t>2.6.17</t>
  </si>
  <si>
    <t>2.6.18</t>
  </si>
  <si>
    <t>2.6.19</t>
  </si>
  <si>
    <t>2.6.20</t>
  </si>
  <si>
    <t>2.6.21</t>
  </si>
  <si>
    <t>2.6.22</t>
  </si>
  <si>
    <t>2.6.23</t>
  </si>
  <si>
    <t>2.6.24</t>
  </si>
  <si>
    <t>Монтаж и счалка каната тягово-несущего кольцевой пассажирской подвесной канатной дороги диам. 40 мм</t>
  </si>
  <si>
    <t>2.8.1</t>
  </si>
  <si>
    <t>2.8.1.1</t>
  </si>
  <si>
    <t>2.8.1.2</t>
  </si>
  <si>
    <t>2.8.1.3</t>
  </si>
  <si>
    <t>2.8.1.4</t>
  </si>
  <si>
    <t>2.8.1.5</t>
  </si>
  <si>
    <t>2.8.1.6</t>
  </si>
  <si>
    <t>2.8.1.7</t>
  </si>
  <si>
    <t>2.8.1.8</t>
  </si>
  <si>
    <t>2.8.1.9</t>
  </si>
  <si>
    <t>2.8.1.10</t>
  </si>
  <si>
    <t>2.8.1.11</t>
  </si>
  <si>
    <t>2.8.1.12</t>
  </si>
  <si>
    <t>2.8.1.13</t>
  </si>
  <si>
    <t>2.8.1.14</t>
  </si>
  <si>
    <t>2.8.1.15</t>
  </si>
  <si>
    <t>2.8.1.16</t>
  </si>
  <si>
    <t>2.8.1.17</t>
  </si>
  <si>
    <t>2.8.1.18</t>
  </si>
  <si>
    <t>2.8.1.19</t>
  </si>
  <si>
    <t>2.8.1.20</t>
  </si>
  <si>
    <t>2.8.1.21</t>
  </si>
  <si>
    <t>2.8.1.22</t>
  </si>
  <si>
    <t>2.8.1.23</t>
  </si>
  <si>
    <t>2.8.1.24</t>
  </si>
  <si>
    <t>2.8.1.25</t>
  </si>
  <si>
    <t>2.8.2</t>
  </si>
  <si>
    <t>2.8.2.1</t>
  </si>
  <si>
    <t>2.8.2.2</t>
  </si>
  <si>
    <t>2.8.2.3</t>
  </si>
  <si>
    <t>2.8.2.4</t>
  </si>
  <si>
    <t>2.8.2.5</t>
  </si>
  <si>
    <t>2.8.2.6</t>
  </si>
  <si>
    <t>2.8.2.7</t>
  </si>
  <si>
    <t>2.8.2.8</t>
  </si>
  <si>
    <t>2.8.2.9</t>
  </si>
  <si>
    <t>2.8.2.10</t>
  </si>
  <si>
    <t>2.8.2.11</t>
  </si>
  <si>
    <t>2.8.2.12</t>
  </si>
  <si>
    <t>2.8.2.13</t>
  </si>
  <si>
    <t>2.8.2.14</t>
  </si>
  <si>
    <t>2.8.2.15</t>
  </si>
  <si>
    <t>2.8.2.16</t>
  </si>
  <si>
    <t>2.8.2.17</t>
  </si>
  <si>
    <t>2.8.2.18</t>
  </si>
  <si>
    <t>2.8.2.19</t>
  </si>
  <si>
    <t>2.8.2.20</t>
  </si>
  <si>
    <t>2.8.2.21</t>
  </si>
  <si>
    <t>2.8.2.22</t>
  </si>
  <si>
    <t>2.8.2.23</t>
  </si>
  <si>
    <t>2.8.2.24</t>
  </si>
  <si>
    <t>2.8.2.25</t>
  </si>
  <si>
    <t>2.8.2.26</t>
  </si>
  <si>
    <t>2.8.2.27</t>
  </si>
  <si>
    <t>2.8.2.28</t>
  </si>
  <si>
    <t>2.8.2.29</t>
  </si>
  <si>
    <t>2.8.2.30</t>
  </si>
  <si>
    <t>2.8.2.31</t>
  </si>
  <si>
    <t>2.8.2.32</t>
  </si>
  <si>
    <t>2.8.2.33</t>
  </si>
  <si>
    <t>2.8.2.34</t>
  </si>
  <si>
    <t>2.8.2.35</t>
  </si>
  <si>
    <t>2.8.2.36</t>
  </si>
  <si>
    <t>2.8.2.37</t>
  </si>
  <si>
    <t>2.8.2.38</t>
  </si>
  <si>
    <t>2.8.2.39</t>
  </si>
  <si>
    <t>2.8.2.40</t>
  </si>
  <si>
    <t>2.8.2.41</t>
  </si>
  <si>
    <t>2.8.2.42</t>
  </si>
  <si>
    <t>2.8.2.43</t>
  </si>
  <si>
    <t>2.8.2.44</t>
  </si>
  <si>
    <t>2.9.11</t>
  </si>
  <si>
    <t>2.9.12</t>
  </si>
  <si>
    <t>2.9.13</t>
  </si>
  <si>
    <t>2.9.14</t>
  </si>
  <si>
    <t>2.9.15</t>
  </si>
  <si>
    <t>2.9.16</t>
  </si>
  <si>
    <t>2.9.17</t>
  </si>
  <si>
    <t>2.9.18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</si>
  <si>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</si>
  <si>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</si>
  <si>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</si>
  <si>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</si>
  <si>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</si>
  <si>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</si>
  <si>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</si>
  <si>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</si>
  <si>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t>2.12.9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</si>
  <si>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</si>
  <si>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</si>
  <si>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</si>
  <si>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</si>
  <si>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</si>
  <si>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</si>
  <si>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</si>
  <si>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</si>
  <si>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</si>
  <si>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</si>
  <si>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</si>
  <si>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2.12.21</t>
  </si>
  <si>
    <t>2.12.22</t>
  </si>
  <si>
    <t>2.12.23</t>
  </si>
  <si>
    <t>2.13.1</t>
  </si>
  <si>
    <t>2.13.2</t>
  </si>
  <si>
    <t>3.2.1</t>
  </si>
  <si>
    <t>3.2.1.1</t>
  </si>
  <si>
    <t>3.2.1.2</t>
  </si>
  <si>
    <t>3.2.2</t>
  </si>
  <si>
    <t>3.2.3</t>
  </si>
  <si>
    <t>3.2.4</t>
  </si>
  <si>
    <t>3.2.5</t>
  </si>
  <si>
    <t>2.18</t>
  </si>
  <si>
    <t>2.19</t>
  </si>
  <si>
    <t>2.21</t>
  </si>
  <si>
    <t>2.19.1</t>
  </si>
  <si>
    <t>2.19.2</t>
  </si>
  <si>
    <t>2.20</t>
  </si>
  <si>
    <t>Расчет начальной (максимальной) цены контракта при осуществлении закупки на выполнение подрядных работ по строительству</t>
  </si>
  <si>
    <t>объект:</t>
  </si>
  <si>
    <t>по адресу:</t>
  </si>
  <si>
    <t>Основания для расчета:</t>
  </si>
  <si>
    <r>
      <t>1. Приказ об утверждении проектной документации, включая сводный сметный расчет стоимости строительства от</t>
    </r>
    <r>
      <rPr>
        <sz val="12"/>
        <color rgb="FFFF0000"/>
        <rFont val="Times New Roman"/>
        <family val="1"/>
        <charset val="204"/>
      </rPr>
      <t xml:space="preserve"> __.__.2020 № Пр-20-___.</t>
    </r>
  </si>
  <si>
    <t>рублей</t>
  </si>
  <si>
    <t>Стоимость работ в ценах утверждения сметной документации- 4 квартал 2019 г.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</si>
  <si>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</si>
  <si>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</si>
  <si>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</si>
  <si>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</si>
  <si>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Непредвиденные работы и затраты</t>
  </si>
  <si>
    <t>2.1.2.1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</si>
  <si>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</si>
  <si>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</si>
  <si>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</si>
  <si>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</si>
  <si>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</si>
  <si>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</si>
  <si>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</si>
  <si>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</si>
  <si>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</si>
  <si>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</si>
  <si>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02-01-02 п.7-9</t>
  </si>
  <si>
    <t>02-01-02 п.6</t>
  </si>
  <si>
    <t>Обратная засыпка вручную</t>
  </si>
  <si>
    <t>Выемка грунта 6 группы с вывозом во временный отвал</t>
  </si>
  <si>
    <t>не требуется и невозможно. Коммутатор неуправляемый. Настраивается автоматически. Кроме того обратить внимание, что программирование дороже самого оборудования.</t>
  </si>
  <si>
    <r>
      <t>п.2: цена учтена в графе "Материалы", а расчет базовой цены произведен делением на индекс для оборудования 4,09. Завышение стоимости 17882/4,09*6,99-17882=</t>
    </r>
    <r>
      <rPr>
        <b/>
        <sz val="10"/>
        <color rgb="FF0070C0"/>
        <rFont val="Arial Cyr"/>
        <charset val="204"/>
      </rPr>
      <t>12679 руб.</t>
    </r>
  </si>
  <si>
    <r>
      <t>п.3: цена учтена в графе "Материалы", а расчет базовой цены произведен делением на индекс для оборудования 4,09. Завышение стоимости 5042/4,09*6,99-5042=</t>
    </r>
    <r>
      <rPr>
        <b/>
        <sz val="10"/>
        <color rgb="FF0070C0"/>
        <rFont val="Arial Cyr"/>
        <charset val="204"/>
      </rPr>
      <t>3575 руб.</t>
    </r>
  </si>
  <si>
    <r>
      <t>п.4: цена учтена в графе "Материалы", а расчет базовой цены произведен делением на индекс для оборудования 4,09. Завышение стоимости 4500/4,09*6,99-4500=</t>
    </r>
    <r>
      <rPr>
        <b/>
        <sz val="10"/>
        <color rgb="FF0070C0"/>
        <rFont val="Arial Cyr"/>
        <charset val="204"/>
      </rPr>
      <t>3191 руб.</t>
    </r>
  </si>
  <si>
    <t>02-01-02 п.2, 5</t>
  </si>
  <si>
    <t>02-01-02 п.3, 4</t>
  </si>
  <si>
    <t>Разработка грунта вручную с погрузкой экскаватором в автосамосвалы</t>
  </si>
  <si>
    <t>нет в проекте.</t>
  </si>
  <si>
    <t>Стоимость без учета НДС</t>
  </si>
  <si>
    <t>НДС-20%</t>
  </si>
  <si>
    <t>Стоимость с учетом НДС</t>
  </si>
  <si>
    <t>Шеф-монтаж оборудования ППКД EL3</t>
  </si>
  <si>
    <t>02-01-01 п.10</t>
  </si>
  <si>
    <t>проверка</t>
  </si>
  <si>
    <t>Всего с учетом возврата от разборки ВЗиС</t>
  </si>
  <si>
    <t>Возврат от разборки ВЗиС</t>
  </si>
  <si>
    <t>НДС</t>
  </si>
  <si>
    <t>ВСЕГО с НДС</t>
  </si>
  <si>
    <t>отклонение</t>
  </si>
  <si>
    <t>В том числе на</t>
  </si>
  <si>
    <t>СМР</t>
  </si>
  <si>
    <t>ПНР</t>
  </si>
  <si>
    <t xml:space="preserve">Примечания: </t>
  </si>
  <si>
    <t>2) инфляция для затрат на проживание и суточные не начисляется, поскольку размер суточных и проживания ограничен Постановлением Правительства РФ № 729 от 02.10.2002</t>
  </si>
  <si>
    <t>*Индекс фактической инфляции по данным Росстата ("Строительство ", Кабардино-Балкарская республика) от цен утверждения сметной документации до даты формирования НМЦК (1,0312*1,0258*1,0358*1*1)=</t>
  </si>
  <si>
    <r>
      <t>Стоимость работ в ценах на дату формирования начальной (максимальной) цены контракта -</t>
    </r>
    <r>
      <rPr>
        <b/>
        <sz val="12"/>
        <color rgb="FFFF0000"/>
        <rFont val="Times New Roman"/>
        <family val="1"/>
        <charset val="204"/>
      </rPr>
      <t xml:space="preserve"> июнь 2020 г.</t>
    </r>
  </si>
  <si>
    <t>РАСЧЕТ ИНДЕКСА -ДЕФЛЯТОРА</t>
  </si>
  <si>
    <t>месяцев</t>
  </si>
  <si>
    <t>Расчет прогнозного индекса инфляции :</t>
  </si>
  <si>
    <t>от начала работ до окончания работ</t>
  </si>
  <si>
    <t>Индекс Минэкономразвития РФ на 2020 г.</t>
  </si>
  <si>
    <t>Всего</t>
  </si>
  <si>
    <t>на 31.12.2020 составит</t>
  </si>
  <si>
    <t>К1 составит</t>
  </si>
  <si>
    <t>Индекс Минэкономразвития РФ на 2021 г.</t>
  </si>
  <si>
    <t>(103,7-100)/12*3/100+1=</t>
  </si>
  <si>
    <t>К2 составит</t>
  </si>
  <si>
    <t>Д1=</t>
  </si>
  <si>
    <t>Д2=</t>
  </si>
  <si>
    <t>Кинфл= Д1*К1+Д2*К2</t>
  </si>
  <si>
    <t>(103,7-100)/12*2/100+1=</t>
  </si>
  <si>
    <t>(103,7-100)/12*8/100+1=</t>
  </si>
  <si>
    <t>(103,7-100)/12*7/100+1=</t>
  </si>
  <si>
    <t>(103,6-100)/12*7/100+1</t>
  </si>
  <si>
    <t>(103,7-100)/12*9/100+1=</t>
  </si>
  <si>
    <t>(103,7-100)/12*5/100+1=</t>
  </si>
  <si>
    <t>3. Утвержденный сводный сметный расчет стоимости строительства "Всесезонный туристско-рекреационный комплекс «Эльбрус», 
Кабардино-Балкарская Республика. Пассажирская подвесная канатная дорога EL3"</t>
  </si>
  <si>
    <t>гора Эльбрус, Эльбрусский муниципальный район, Кабардино-Балкарская Республика, Российская Федерация</t>
  </si>
  <si>
    <t>2. Заключение Федерального автономного учреждения "Главное управление государственной экспертизы" (ФАУ "ГЛАВГОСЭКСПЕРТИЗА РОССИИ") от 30.03.2020 № в ЕГРЗ 07-1-1-3-009540-2020.</t>
  </si>
  <si>
    <t>Для расчета цены проектных работ стадии "Рабочая документация" использован сводный сметный расчет, получивший положительное заключение  федерального автономного учреждения «Главное управление государственной экспертизы» (ФАУ "ГЛАВГОСЭКСПЕРТИЗА РОССИИ") от 30.03.2020 № в ЕГРЗ 07-1-1-3-009540-2020.</t>
  </si>
  <si>
    <t>Для расчета цены строительства  использован сводный сметный расчет, получивший положительное заключение федерального автономного учреждения «Главное управление государственной экспертизы» (ФАУ "ГЛАВГОСЭКСПЕРТИЗА РОССИИ") от 30.03.2020 № в ЕГРЗ 07-1-1-3-009540-2020.</t>
  </si>
  <si>
    <t>Период производства работ</t>
  </si>
  <si>
    <t>Продолжительность, дней</t>
  </si>
  <si>
    <t>на 01.12.2020 составит</t>
  </si>
  <si>
    <t>на 01.01.2021 составит</t>
  </si>
  <si>
    <t>на 01.03.2021 составит</t>
  </si>
  <si>
    <t>(1+1,006)/2*1,036</t>
  </si>
  <si>
    <t>30/90</t>
  </si>
  <si>
    <t>60/90</t>
  </si>
  <si>
    <t>0,33*1,035+0,67*1,039</t>
  </si>
  <si>
    <t>(1,018+1,021)/2</t>
  </si>
  <si>
    <t>на 01.04.2021 составит</t>
  </si>
  <si>
    <t>на 01.06.2021 составит</t>
  </si>
  <si>
    <t xml:space="preserve">Кинфл= </t>
  </si>
  <si>
    <t>1,021*(1,009+1,015)/2</t>
  </si>
  <si>
    <t>на 01.07.2021 составит</t>
  </si>
  <si>
    <t>(103,7-100)/12*6/100+1=</t>
  </si>
  <si>
    <t>на 15.06.2021 составит</t>
  </si>
  <si>
    <t>на 10.07.2021 составит</t>
  </si>
  <si>
    <t>на 25.06.2021 составит</t>
  </si>
  <si>
    <t>на 20.07.2021 составит</t>
  </si>
  <si>
    <t>1,021*(1,019+1,022)/2</t>
  </si>
  <si>
    <t>1,021*(1,015+1,019)/2</t>
  </si>
  <si>
    <t>на 31.07.2021 составит</t>
  </si>
  <si>
    <t>на 10.08.2021 составит</t>
  </si>
  <si>
    <t>1,021*(1,022+1,022)/2</t>
  </si>
  <si>
    <t>на 25.08.2021 составит</t>
  </si>
  <si>
    <t>1,021*(1,022+1,025)/2</t>
  </si>
  <si>
    <t>на 01.08.2021 составит</t>
  </si>
  <si>
    <t>на 15.08.2021 составит</t>
  </si>
  <si>
    <t>на 26.08.2021 составит</t>
  </si>
  <si>
    <t>на 31.08.2021 составит</t>
  </si>
  <si>
    <t>1,021*(1,025+1,025)/2</t>
  </si>
  <si>
    <t>1,021*(1,009+1,025)/2</t>
  </si>
  <si>
    <t>на 01.09.2021 составит</t>
  </si>
  <si>
    <t>на 21.09.2021 составит</t>
  </si>
  <si>
    <t>1,021*(1,025+1,028)/2</t>
  </si>
  <si>
    <t>1,021*(1,019+1,025)/2</t>
  </si>
  <si>
    <t>1,021*(1,022+1,028)/2</t>
  </si>
  <si>
    <t>1) поскольку индекс фактической инфляции за  апрель и май 2020 отсутствует на момент формирования НМЦК, то он принимается равным 1.</t>
  </si>
  <si>
    <t>09-05-01 разделы 1-3</t>
  </si>
  <si>
    <t>09-05-01 разделы 4-5</t>
  </si>
  <si>
    <t>Перевозка рабочих</t>
  </si>
  <si>
    <t>Проживание и суточные</t>
  </si>
  <si>
    <t>доля СМР</t>
  </si>
  <si>
    <t>доля ПНР</t>
  </si>
  <si>
    <t>2.17.1</t>
  </si>
  <si>
    <t>2.17.2</t>
  </si>
  <si>
    <t>3.3.1</t>
  </si>
  <si>
    <t>3.3.2</t>
  </si>
  <si>
    <t>3.4</t>
  </si>
  <si>
    <r>
      <t>Завышение стоимости монтажа тележка+натяжное устройство= (5713-1616)*6,99*1,2=</t>
    </r>
    <r>
      <rPr>
        <b/>
        <sz val="10"/>
        <rFont val="Arial Cyr"/>
        <charset val="204"/>
      </rPr>
      <t>34366</t>
    </r>
    <r>
      <rPr>
        <sz val="10"/>
        <rFont val="Arial Cyr"/>
        <charset val="204"/>
      </rPr>
      <t xml:space="preserve"> руб.
ФЕРм03-04-022-10</t>
    </r>
  </si>
  <si>
    <r>
      <t>Завышение стоимости монтажа:
шкив =(40151-11010)*6,99*1,2=</t>
    </r>
    <r>
      <rPr>
        <b/>
        <sz val="10"/>
        <rFont val="Arial Cyr"/>
        <charset val="204"/>
      </rPr>
      <t>244435</t>
    </r>
    <r>
      <rPr>
        <sz val="10"/>
        <rFont val="Arial Cyr"/>
        <charset val="204"/>
      </rPr>
      <t xml:space="preserve"> руб. (ФЕРм03-04-022-06)
</t>
    </r>
  </si>
  <si>
    <r>
      <t>Завышение стоимости монтажа:
двигатель =(3632-1222)*6,99*1,2=</t>
    </r>
    <r>
      <rPr>
        <b/>
        <sz val="10"/>
        <rFont val="Arial Cyr"/>
        <charset val="204"/>
      </rPr>
      <t>20215</t>
    </r>
    <r>
      <rPr>
        <sz val="10"/>
        <rFont val="Arial Cyr"/>
        <charset val="204"/>
      </rPr>
      <t xml:space="preserve"> руб. (ФЕРм03-04-022-01)
</t>
    </r>
  </si>
  <si>
    <r>
      <t>учтен вес монтажа 3,7 т
Занижение стоимости =(7340-11010)*6,99*1,2=</t>
    </r>
    <r>
      <rPr>
        <b/>
        <sz val="10"/>
        <rFont val="Arial Cyr"/>
        <charset val="204"/>
      </rPr>
      <t xml:space="preserve">-30784 </t>
    </r>
    <r>
      <rPr>
        <sz val="10"/>
        <rFont val="Arial Cyr"/>
        <charset val="204"/>
      </rPr>
      <t>руб.</t>
    </r>
  </si>
  <si>
    <r>
      <t xml:space="preserve">учтен коэффициент на горные условия К=1,5 к расценке на перевозку ФССЦпг.
</t>
    </r>
    <r>
      <rPr>
        <b/>
        <sz val="10"/>
        <rFont val="Arial Cyr"/>
        <charset val="204"/>
      </rPr>
      <t>Завышение стоимости (22262-14825)*6,99*1,2= 62382 руб.</t>
    </r>
  </si>
  <si>
    <r>
      <t>ошибка в формуле физ.объема. В смете учтено 2,1*0,8*2,1=3,53 м2, а по проекту 2,1</t>
    </r>
    <r>
      <rPr>
        <b/>
        <sz val="10"/>
        <color rgb="FF0070C0"/>
        <rFont val="Arial Cyr"/>
        <charset val="204"/>
      </rPr>
      <t>+</t>
    </r>
    <r>
      <rPr>
        <sz val="10"/>
        <color rgb="FF0070C0"/>
        <rFont val="Arial Cyr"/>
        <charset val="204"/>
      </rPr>
      <t>0,8*2,1=3,78 м2.</t>
    </r>
  </si>
  <si>
    <r>
      <t xml:space="preserve">какое отношение "прокладка трубы" имеет к земляным работам?
Расход трубы 262 м не соответствует объему работ. </t>
    </r>
    <r>
      <rPr>
        <b/>
        <sz val="10"/>
        <rFont val="Arial Cyr"/>
        <charset val="204"/>
      </rPr>
      <t>Завышение стоимости 1868,92*4=7475,68 руб.</t>
    </r>
  </si>
  <si>
    <r>
      <t xml:space="preserve">В смете учтена масса оборудования 755 кг/шт
- Не учтен коэффициент корректировки по массе оборудования.
</t>
    </r>
    <r>
      <rPr>
        <b/>
        <sz val="10"/>
        <rFont val="Arial Cyr"/>
        <charset val="204"/>
      </rPr>
      <t>Завышение стоимости
(68825-48178)*6,99*1,2=173187 руб.</t>
    </r>
  </si>
  <si>
    <t>2.2.12</t>
  </si>
  <si>
    <t>2.2.13</t>
  </si>
  <si>
    <t>2.3.10</t>
  </si>
  <si>
    <t>2.3.11</t>
  </si>
  <si>
    <t>2.3.12</t>
  </si>
  <si>
    <t>2.4.12</t>
  </si>
  <si>
    <t>2.4.13</t>
  </si>
  <si>
    <t>ПРОЕКТ СМЕТЫ КОНТРАКТА</t>
  </si>
  <si>
    <t>Цена, руб.</t>
  </si>
  <si>
    <t>На единицу измерения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</si>
  <si>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</si>
  <si>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</si>
  <si>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</si>
  <si>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</si>
  <si>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</si>
  <si>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-затраты на разработку рабочей документации;</t>
  </si>
  <si>
    <t>- затраты на оплату труда рабочих-строителей;</t>
  </si>
  <si>
    <t>-затраты на приобретение материалов, изделий и конструкций;</t>
  </si>
  <si>
    <t>-затраты на эксплуатацию машин и механизмов;</t>
  </si>
  <si>
    <t>-накладные расходы;</t>
  </si>
  <si>
    <t>-сметную прибыль;</t>
  </si>
  <si>
    <t>-затраты на строительство временных зданий и сооружений;</t>
  </si>
  <si>
    <t>-возврат от разборки временных зданий и сооружений в размере 15% от суммы затрат на их возведение;</t>
  </si>
  <si>
    <t>-Затраты по командированию рабочих и машинистов строительной техники для производства СМР;</t>
  </si>
  <si>
    <t>-затраты, связанные с перевозкой рабочих;</t>
  </si>
  <si>
    <t>-пусконаладочные работы "вхолостую";</t>
  </si>
  <si>
    <t>- резерв средств на непредвиденные работы и затраты;</t>
  </si>
  <si>
    <t>-индексы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</si>
  <si>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реализации проекта.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</si>
  <si>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</si>
  <si>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</si>
  <si>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</si>
  <si>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</si>
  <si>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</si>
  <si>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-размещение на полигоне строительного мусора и отходов;</t>
  </si>
  <si>
    <t>-профилирование временных дорог с добавлением местного грунта и уплотнение покрытия катками - 3 раза;</t>
  </si>
  <si>
    <t>-плата за негативное воздействие на окружающую среду;</t>
  </si>
  <si>
    <t xml:space="preserve">-затраты на проведение производственного экологического мониторинга; </t>
  </si>
  <si>
    <t xml:space="preserve">-затраты на проведение геотехнического мониторинга; </t>
  </si>
  <si>
    <t>-шеф-монтаж оборудования ППКД EL3;</t>
  </si>
  <si>
    <t>-затраты на устройство временных дорог;</t>
  </si>
  <si>
    <t>Итого, руб.</t>
  </si>
  <si>
    <t>Виды (наименования) работ</t>
  </si>
  <si>
    <t>НДС 20%</t>
  </si>
  <si>
    <t>Всего с учетом НДС, руб.</t>
  </si>
  <si>
    <t>НАЧАЛЬНАЯ МАКСИМАЛЬНАЯ ЦЕНА ДОГОВОРА</t>
  </si>
  <si>
    <t>Начало работ</t>
  </si>
  <si>
    <t>Окончание работ</t>
  </si>
  <si>
    <t>Продолжительность работ</t>
  </si>
  <si>
    <t>Для расчета цены изыскательских работ (Затраты на проведение производственного экологического мониторинга и геотехнического мониторинга ) использован сводный сметный расчет, получивший положительное заключение  федерального автономного учреждения «Главное управление государственной экспертизы» (ФАУ "ГЛАВГОСЭКСПЕРТИЗА РОССИИ") от 30.03.2020 № в ЕГРЗ 07-1-1-3-009540-2020.</t>
  </si>
  <si>
    <t xml:space="preserve">Ширина 6м
Длина 293пм
S=1758 м2
</t>
  </si>
  <si>
    <t>Оборудование ППКД EL3</t>
  </si>
  <si>
    <t>2.22</t>
  </si>
  <si>
    <t>-удорожание работ в зимнее время;</t>
  </si>
  <si>
    <t>Стоимость проживания рабочих на объекте строительства принята в размере 12 руб. в сутки на человека, размер суточных- 100 руб. в сутки на человека  согласно Постановлению Правительства РФ от 02.10.2002 г. № 729.</t>
  </si>
  <si>
    <t>Геотехнический мониторинг</t>
  </si>
  <si>
    <t>Производственный экологический мониторинг</t>
  </si>
  <si>
    <t>Командирование рабочих</t>
  </si>
  <si>
    <t>Плата за негативное воздействие на окружающую среду</t>
  </si>
  <si>
    <t>Стоимость работ в ценах на дату формирования начальной (максимальной) цены контракта - июль 2020 г.</t>
  </si>
  <si>
    <t xml:space="preserve">Доля сметной стоимости, подлежащая выполнению подрядчиком в 2021 </t>
  </si>
  <si>
    <t>Годовой индекс прогнозной инфляции (по письму Минэкономразвития России от 26.09.2019 г. №Д14и-32899, отрасль "Инвестиции в основной капитал"):</t>
  </si>
  <si>
    <t>Расчет индексов прогнозной инфляции :</t>
  </si>
  <si>
    <t>на 2020 год</t>
  </si>
  <si>
    <t>на 2021 год</t>
  </si>
  <si>
    <t>Расчет ежемесячного прогнозного индекса:</t>
  </si>
  <si>
    <t>ежемесячный индекс прогноз на 2020</t>
  </si>
  <si>
    <t>ежемесячный индекс прогноз на 2021</t>
  </si>
  <si>
    <t>К на 2021</t>
  </si>
  <si>
    <t>Итого индекс прогнозной инфляции</t>
  </si>
  <si>
    <t>-стоимость оборудования поставки подрядчика;</t>
  </si>
  <si>
    <t>2. Подготовительные работы</t>
  </si>
  <si>
    <t>Продолжительность, месяцев</t>
  </si>
  <si>
    <t>на 2022 год</t>
  </si>
  <si>
    <t>Доля сметной стоимости, подлежащая выполнению подрядчиком в 2022</t>
  </si>
  <si>
    <t>ежемесячный индекс прогноз на 2022</t>
  </si>
  <si>
    <t>К на 2022</t>
  </si>
  <si>
    <t>Авторский надзор</t>
  </si>
  <si>
    <t>4</t>
  </si>
  <si>
    <t>в счет затрат на строительный контроль.</t>
  </si>
  <si>
    <t>в том числе Авторский надзор без непредвиденных:</t>
  </si>
  <si>
    <t>Авторский надзор (в счет затрат на строительный контроль)</t>
  </si>
  <si>
    <t>- затраты на авторский надзор;</t>
  </si>
  <si>
    <t>№ п.п.</t>
  </si>
  <si>
    <t>Наименование затрат</t>
  </si>
  <si>
    <t xml:space="preserve"> Стоимость , руб. без НДС</t>
  </si>
  <si>
    <t>Примечание</t>
  </si>
  <si>
    <t>Непредвиденные затраты 2%</t>
  </si>
  <si>
    <t>Итого</t>
  </si>
  <si>
    <t>Всего с НДС 20%</t>
  </si>
  <si>
    <t>*Индекс фактической инфляции по данным Росстата (Строительство ) от цен утверждения сметной документации до даты формирования НМЦК  январь 2020 - июль 2020 (</t>
  </si>
  <si>
    <t>=</t>
  </si>
  <si>
    <t>1) поскольку индексы фактической инфляции за июнь - июль 2020 отсутствуют на момент формирования НМЦК, то значение индекса принимается равным 1.</t>
  </si>
  <si>
    <t>Расчет индекса прогнозной инфляции для оборудования</t>
  </si>
  <si>
    <t>мес.</t>
  </si>
  <si>
    <t>январь</t>
  </si>
  <si>
    <t>февраль</t>
  </si>
  <si>
    <t>март</t>
  </si>
  <si>
    <t>апрель</t>
  </si>
  <si>
    <t>май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</si>
  <si>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</si>
  <si>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</si>
  <si>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Индекс Минэкономразвития РФ на 2021 г. (Письмо Минэкономразвития России от 1 октября 2019 г. 
№ 33198-ПБ/Д03и)</t>
  </si>
  <si>
    <t>Ежемесячный индекс прогноз на 2021 г.</t>
  </si>
  <si>
    <t>Итого индекс прогнозной инфляции И=</t>
  </si>
  <si>
    <t>1,00295^5*(1,00303^5+1,00303^8)/2</t>
  </si>
  <si>
    <t>Шеф-монтажные работы: консультации по ведению строительных работ, руководство монтажом и обучение обслуживающего персонала</t>
  </si>
  <si>
    <t xml:space="preserve">Стоимость шеф-монтажных работ по оборудованию КД EL3 согласно технико-коммерческому предложению №SCT-19-0058-01 (письмо Doppelmayr Russia, Ltd от 19.08.2019 исх. №ИХ/00608/20-СМР) </t>
  </si>
  <si>
    <t>Расчет</t>
  </si>
  <si>
    <t>стоимости шеф-монтажных работ по объекту:</t>
  </si>
  <si>
    <t>в том числе Авторский надзор 0,2% от глав 1-9</t>
  </si>
  <si>
    <t>Стоимость работ в ценах на дату формирования начальной (максимальной) цены контракта - август 2020 г.</t>
  </si>
  <si>
    <t>*Индекс фактической инфляции по данным Росстата ("Строительство ", Кабардино-Балкарская республика) от цен утверждения сметной документации до даты формирования НМЦК (1,0312*1,0258*1,0358*1,0253*1,0141*0,9939*0,9958*1)=</t>
  </si>
  <si>
    <t>1) поскольку индекс фактической инфляции за август 2020 отсутствует на момент формирования НМЦК, то он принимается равным 1.</t>
  </si>
  <si>
    <t>График производства работ по объекту:</t>
  </si>
  <si>
    <t>EL3 + EL6</t>
  </si>
  <si>
    <t>Сроки выполнения работ</t>
  </si>
  <si>
    <t>Дата начала</t>
  </si>
  <si>
    <t>Дата окончания</t>
  </si>
  <si>
    <t>Длительность</t>
  </si>
  <si>
    <t>1.</t>
  </si>
  <si>
    <t>1. Разработка РД EL3+EL6</t>
  </si>
  <si>
    <t>2.</t>
  </si>
  <si>
    <t>2.1.</t>
  </si>
  <si>
    <t>2.1. Подготовительные работы EL3</t>
  </si>
  <si>
    <t>2.2.</t>
  </si>
  <si>
    <t>2.2. Подготовительные работы EL6</t>
  </si>
  <si>
    <t>3.</t>
  </si>
  <si>
    <t>3. Строительно-монтажне работы</t>
  </si>
  <si>
    <t>3.1.</t>
  </si>
  <si>
    <t>3.1. СМР EL3</t>
  </si>
  <si>
    <t>3.2.</t>
  </si>
  <si>
    <t>3.2. СМР EL6</t>
  </si>
  <si>
    <t>4.</t>
  </si>
  <si>
    <t>4. Пусконаладочные работы</t>
  </si>
  <si>
    <t>4.1.</t>
  </si>
  <si>
    <t>4.1. ПНР EL3</t>
  </si>
  <si>
    <t>4.2.</t>
  </si>
  <si>
    <t>4.2. ПНР EL6</t>
  </si>
  <si>
    <t>5.</t>
  </si>
  <si>
    <t>5. Ввод объекта в эксплуатацию</t>
  </si>
  <si>
    <t>5.1.</t>
  </si>
  <si>
    <t>5.1. EL3</t>
  </si>
  <si>
    <t>5.2.</t>
  </si>
  <si>
    <t>5.2. EL6</t>
  </si>
  <si>
    <t>6.</t>
  </si>
  <si>
    <t>Подписание акта приемки законченного строительством объекта примемочной комиссией</t>
  </si>
  <si>
    <t>6.1.</t>
  </si>
  <si>
    <t>6.1. EL3</t>
  </si>
  <si>
    <t>6.2.</t>
  </si>
  <si>
    <t>6.2. EL6</t>
  </si>
  <si>
    <t xml:space="preserve">Доля сметной стоимости, подлежащая выполнению подрядчиком в 2020 </t>
  </si>
  <si>
    <t>Доля сметной стоимости, подлежащая выполнению подрядчиком в 2021</t>
  </si>
  <si>
    <t>(2,5 месяца/6,5 месяцев)</t>
  </si>
  <si>
    <t>(4 месяцев/6,5 месяцев)</t>
  </si>
  <si>
    <t>К на 2020</t>
  </si>
  <si>
    <t>0,38*1,01+0,62*1,02</t>
  </si>
  <si>
    <t>(8 месяцев/16 месяцев)</t>
  </si>
  <si>
    <t>1,00295^4*1,00303^4*(1,00303+1,00303^8)/2</t>
  </si>
  <si>
    <t>1,00295^4*(1,00303+1,00303^4)/2</t>
  </si>
  <si>
    <t>1,00295^1,5*(1,00295+1,00295^2,5)/2</t>
  </si>
  <si>
    <t>1,00295^4*1,037*(1,00303+1,00303^8)/2</t>
  </si>
  <si>
    <t>0,5*1,038+0,5*1,064</t>
  </si>
  <si>
    <t>1,00295^4*1,037*1,00303^8*(1,00303+1,00303^1)/2</t>
  </si>
  <si>
    <t>(8 месяцев/17 месяцев)</t>
  </si>
  <si>
    <t>(9 месяцев/17 месяцев)</t>
  </si>
  <si>
    <t>1,00295^4*1,037*(1,00303+1,00303^9)/2</t>
  </si>
  <si>
    <t>0,47*1,038+0,53*1,065</t>
  </si>
  <si>
    <t>Курс EUR/RUB ЦБ РФ по состоянию на 28.08.2020</t>
  </si>
  <si>
    <t>64000*88,9960</t>
  </si>
  <si>
    <t>1. Приказ об утверждении проектной документации, включая сводный сметный расчет стоимости строительства от 30.03.2020 № Пр-20-059.</t>
  </si>
  <si>
    <t>(сто сорок миллионов двести восемьдесят восемь тысяч восемьсот восемьдесят рублей, 00 копеек)</t>
  </si>
  <si>
    <t>Строительство (строительно-монтажные работы, оборудование поставки подрядчика, прочие затраты)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</si>
</sst>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₽_-;\-* #,##0.00\ _₽_-;_-* &quot;-&quot;??\ _₽_-;_-@_-"/>
    <numFmt numFmtId="165" formatCode="0.000"/>
    <numFmt numFmtId="166" formatCode="_-* #,##0\ _₽_-;\-* #,##0\ _₽_-;_-* &quot;-&quot;??\ _₽_-;_-@_-"/>
    <numFmt numFmtId="167" formatCode="_-* #,##0.0\ _₽_-;\-* #,##0.0\ _₽_-;_-* &quot;-&quot;??\ _₽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#,##0.000"/>
    <numFmt numFmtId="171" formatCode="#,##0_ ;\-#,##0\ "/>
    <numFmt numFmtId="172" formatCode="0.0000"/>
    <numFmt numFmtId="173" formatCode="0.00000"/>
    <numFmt numFmtId="174" formatCode="0.0"/>
    <numFmt numFmtId="175" formatCode="#,##0.00000"/>
    <numFmt numFmtId="176" formatCode="#,##0.####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i/>
      <sz val="8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70C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u/>
      <sz val="10"/>
      <color rgb="FF0070C0"/>
      <name val="Arial"/>
      <family val="2"/>
      <charset val="204"/>
    </font>
    <font>
      <u/>
      <sz val="10"/>
      <color rgb="FF0070C0"/>
      <name val="Arial Cyr"/>
      <charset val="204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u/>
      <sz val="10"/>
      <color rgb="FF0070C0"/>
      <name val="Arial"/>
      <family val="2"/>
      <charset val="204"/>
    </font>
    <font>
      <b/>
      <sz val="12"/>
      <color rgb="FF0070C0"/>
      <name val="Times New Roman"/>
      <family val="1"/>
      <charset val="204"/>
    </font>
    <font>
      <u/>
      <sz val="10"/>
      <name val="Arial"/>
      <family val="2"/>
      <charset val="204"/>
    </font>
    <font>
      <b/>
      <sz val="11"/>
      <name val="Calibri"/>
      <family val="2"/>
      <charset val="204"/>
    </font>
    <font>
      <b/>
      <u/>
      <sz val="10"/>
      <name val="Arial"/>
      <family val="2"/>
      <charset val="204"/>
    </font>
    <font>
      <sz val="11"/>
      <color rgb="FFFF0000"/>
      <name val="Calibri"/>
      <family val="2"/>
      <charset val="204"/>
    </font>
    <font>
      <u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9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9" fillId="0" borderId="0"/>
    <xf numFmtId="0" fontId="22" fillId="0" borderId="0"/>
    <xf numFmtId="0" fontId="23" fillId="0" borderId="0">
      <alignment horizontal="center" vertical="top"/>
    </xf>
    <xf numFmtId="0" fontId="24" fillId="0" borderId="0">
      <alignment horizontal="left" vertical="top"/>
    </xf>
    <xf numFmtId="0" fontId="24" fillId="0" borderId="0">
      <alignment horizontal="center" vertical="center"/>
    </xf>
    <xf numFmtId="0" fontId="24" fillId="0" borderId="0">
      <alignment horizontal="center"/>
    </xf>
    <xf numFmtId="0" fontId="25" fillId="0" borderId="0">
      <alignment horizontal="center" vertical="center"/>
    </xf>
    <xf numFmtId="0" fontId="25" fillId="0" borderId="0">
      <alignment horizontal="center" vertical="center"/>
    </xf>
    <xf numFmtId="0" fontId="24" fillId="0" borderId="0">
      <alignment horizontal="center" vertical="center"/>
    </xf>
    <xf numFmtId="0" fontId="24" fillId="0" borderId="0">
      <alignment horizontal="center" vertical="center"/>
    </xf>
    <xf numFmtId="0" fontId="24" fillId="0" borderId="0">
      <alignment horizontal="center" vertical="center"/>
    </xf>
    <xf numFmtId="0" fontId="24" fillId="0" borderId="0">
      <alignment horizontal="center" vertical="center"/>
    </xf>
    <xf numFmtId="0" fontId="24" fillId="0" borderId="0">
      <alignment horizontal="left" vertical="center"/>
    </xf>
    <xf numFmtId="0" fontId="3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/>
    <xf numFmtId="0" fontId="38" fillId="9" borderId="0" applyNumberFormat="0" applyBorder="0" applyAlignment="0" applyProtection="0"/>
    <xf numFmtId="0" fontId="2" fillId="0" borderId="0"/>
    <xf numFmtId="0" fontId="1" fillId="0" borderId="0"/>
  </cellStyleXfs>
  <cellXfs count="688">
    <xf numFmtId="0" fontId="0" fillId="0" borderId="0" xfId="0"/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top"/>
    </xf>
    <xf numFmtId="0" fontId="5" fillId="0" borderId="6" xfId="0" applyFont="1" applyBorder="1" applyAlignment="1">
      <alignment horizontal="center" vertical="center"/>
    </xf>
    <xf numFmtId="0" fontId="5" fillId="0" borderId="0" xfId="1" applyFont="1" applyAlignment="1">
      <alignment horizontal="center" vertical="top"/>
    </xf>
    <xf numFmtId="49" fontId="5" fillId="0" borderId="0" xfId="1" applyNumberFormat="1" applyFont="1" applyAlignment="1">
      <alignment horizontal="left" vertical="top"/>
    </xf>
    <xf numFmtId="49" fontId="6" fillId="0" borderId="1" xfId="1" applyNumberFormat="1" applyFont="1" applyBorder="1" applyAlignment="1">
      <alignment horizontal="left" vertical="top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5" fillId="0" borderId="0" xfId="1" applyNumberFormat="1" applyFont="1" applyFill="1" applyAlignment="1">
      <alignment horizontal="left"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 vertical="top"/>
    </xf>
    <xf numFmtId="49" fontId="5" fillId="0" borderId="0" xfId="1" applyNumberFormat="1" applyFont="1" applyFill="1" applyAlignment="1">
      <alignment horizontal="left" vertical="top"/>
    </xf>
    <xf numFmtId="0" fontId="5" fillId="0" borderId="0" xfId="1" applyFont="1" applyFill="1"/>
    <xf numFmtId="0" fontId="5" fillId="0" borderId="2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right" vertical="top"/>
    </xf>
    <xf numFmtId="49" fontId="5" fillId="0" borderId="2" xfId="1" applyNumberFormat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right" vertical="top" wrapText="1"/>
    </xf>
    <xf numFmtId="4" fontId="11" fillId="0" borderId="2" xfId="1" applyNumberFormat="1" applyFont="1" applyFill="1" applyBorder="1" applyAlignment="1">
      <alignment horizontal="right" vertical="top"/>
    </xf>
    <xf numFmtId="2" fontId="5" fillId="0" borderId="2" xfId="1" applyNumberFormat="1" applyFont="1" applyFill="1" applyBorder="1" applyAlignment="1">
      <alignment horizontal="right" vertical="top" wrapText="1"/>
    </xf>
    <xf numFmtId="49" fontId="5" fillId="0" borderId="2" xfId="1" applyNumberFormat="1" applyFont="1" applyFill="1" applyBorder="1" applyAlignment="1">
      <alignment horizontal="left" vertical="top" wrapText="1"/>
    </xf>
    <xf numFmtId="2" fontId="5" fillId="0" borderId="2" xfId="1" applyNumberFormat="1" applyFont="1" applyFill="1" applyBorder="1" applyAlignment="1">
      <alignment horizontal="right" vertical="top"/>
    </xf>
    <xf numFmtId="164" fontId="5" fillId="0" borderId="2" xfId="2" applyFont="1" applyFill="1" applyBorder="1" applyAlignment="1">
      <alignment horizontal="right"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right" vertical="top"/>
    </xf>
    <xf numFmtId="4" fontId="5" fillId="0" borderId="1" xfId="1" applyNumberFormat="1" applyFont="1" applyFill="1" applyBorder="1" applyAlignment="1">
      <alignment vertical="center"/>
    </xf>
    <xf numFmtId="0" fontId="14" fillId="0" borderId="0" xfId="1" applyFont="1" applyFill="1"/>
    <xf numFmtId="0" fontId="14" fillId="0" borderId="0" xfId="1" applyFont="1" applyFill="1" applyAlignment="1">
      <alignment horizontal="center" vertical="center"/>
    </xf>
    <xf numFmtId="4" fontId="14" fillId="0" borderId="0" xfId="1" applyNumberFormat="1" applyFont="1" applyFill="1" applyAlignment="1">
      <alignment horizontal="left" vertical="center"/>
    </xf>
    <xf numFmtId="4" fontId="14" fillId="0" borderId="0" xfId="1" applyNumberFormat="1" applyFont="1" applyFill="1" applyAlignment="1">
      <alignment horizontal="center" vertical="center"/>
    </xf>
    <xf numFmtId="4" fontId="14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left"/>
    </xf>
    <xf numFmtId="4" fontId="14" fillId="0" borderId="0" xfId="1" applyNumberFormat="1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Fill="1"/>
    <xf numFmtId="4" fontId="5" fillId="0" borderId="0" xfId="0" applyNumberFormat="1" applyFont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 wrapText="1"/>
    </xf>
    <xf numFmtId="0" fontId="7" fillId="0" borderId="0" xfId="0" applyFont="1"/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4" fontId="6" fillId="0" borderId="0" xfId="1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/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/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/>
    </xf>
    <xf numFmtId="0" fontId="0" fillId="0" borderId="0" xfId="0" applyFill="1"/>
    <xf numFmtId="4" fontId="0" fillId="0" borderId="0" xfId="0" applyNumberFormat="1" applyFill="1"/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center" vertical="top"/>
    </xf>
    <xf numFmtId="4" fontId="5" fillId="0" borderId="0" xfId="0" applyNumberFormat="1" applyFont="1"/>
    <xf numFmtId="0" fontId="5" fillId="2" borderId="2" xfId="0" applyFont="1" applyFill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2" fontId="5" fillId="3" borderId="2" xfId="0" applyNumberFormat="1" applyFont="1" applyFill="1" applyBorder="1" applyAlignment="1">
      <alignment horizontal="right" vertical="top"/>
    </xf>
    <xf numFmtId="2" fontId="5" fillId="2" borderId="2" xfId="0" applyNumberFormat="1" applyFont="1" applyFill="1" applyBorder="1" applyAlignment="1">
      <alignment horizontal="right" vertical="top"/>
    </xf>
    <xf numFmtId="4" fontId="5" fillId="2" borderId="2" xfId="1" applyNumberFormat="1" applyFont="1" applyFill="1" applyBorder="1" applyAlignment="1">
      <alignment horizontal="right" vertical="top" wrapText="1"/>
    </xf>
    <xf numFmtId="4" fontId="6" fillId="2" borderId="2" xfId="1" applyNumberFormat="1" applyFont="1" applyFill="1" applyBorder="1" applyAlignment="1">
      <alignment horizontal="right" vertical="top" wrapText="1"/>
    </xf>
    <xf numFmtId="4" fontId="7" fillId="2" borderId="2" xfId="0" applyNumberFormat="1" applyFont="1" applyFill="1" applyBorder="1" applyAlignment="1">
      <alignment horizontal="right" vertical="top"/>
    </xf>
    <xf numFmtId="49" fontId="5" fillId="4" borderId="2" xfId="0" applyNumberFormat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left"/>
    </xf>
    <xf numFmtId="4" fontId="14" fillId="0" borderId="0" xfId="1" applyNumberFormat="1" applyFont="1" applyFill="1" applyAlignment="1">
      <alignment horizontal="center" vertical="center"/>
    </xf>
    <xf numFmtId="4" fontId="14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2" fontId="5" fillId="0" borderId="2" xfId="0" applyNumberFormat="1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5" fillId="0" borderId="2" xfId="0" applyFont="1" applyBorder="1"/>
    <xf numFmtId="2" fontId="5" fillId="0" borderId="2" xfId="0" applyNumberFormat="1" applyFont="1" applyBorder="1"/>
    <xf numFmtId="49" fontId="16" fillId="0" borderId="2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right" vertical="top"/>
    </xf>
    <xf numFmtId="0" fontId="16" fillId="0" borderId="2" xfId="0" quotePrefix="1" applyFont="1" applyBorder="1" applyAlignment="1">
      <alignment horizontal="center" vertical="top" wrapText="1"/>
    </xf>
    <xf numFmtId="0" fontId="16" fillId="0" borderId="0" xfId="0" applyFont="1"/>
    <xf numFmtId="0" fontId="16" fillId="4" borderId="2" xfId="0" quotePrefix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16" fillId="0" borderId="0" xfId="0" applyFont="1" applyFill="1"/>
    <xf numFmtId="0" fontId="16" fillId="0" borderId="2" xfId="0" quotePrefix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0" fontId="16" fillId="0" borderId="2" xfId="0" applyNumberFormat="1" applyFont="1" applyBorder="1" applyAlignment="1">
      <alignment horizontal="left" vertical="top" wrapText="1"/>
    </xf>
    <xf numFmtId="0" fontId="16" fillId="0" borderId="2" xfId="0" applyFont="1" applyFill="1" applyBorder="1" applyAlignment="1">
      <alignment horizontal="right" vertical="top"/>
    </xf>
    <xf numFmtId="49" fontId="10" fillId="0" borderId="0" xfId="0" applyNumberFormat="1" applyFont="1" applyAlignment="1">
      <alignment wrapText="1"/>
    </xf>
    <xf numFmtId="49" fontId="0" fillId="0" borderId="0" xfId="0" applyNumberFormat="1"/>
    <xf numFmtId="0" fontId="19" fillId="0" borderId="0" xfId="0" applyFont="1" applyBorder="1" applyAlignment="1">
      <alignment vertical="center" wrapText="1"/>
    </xf>
    <xf numFmtId="0" fontId="18" fillId="0" borderId="0" xfId="0" applyFont="1" applyBorder="1"/>
    <xf numFmtId="4" fontId="18" fillId="0" borderId="0" xfId="0" applyNumberFormat="1" applyFont="1" applyBorder="1" applyAlignment="1">
      <alignment horizontal="right"/>
    </xf>
    <xf numFmtId="2" fontId="16" fillId="0" borderId="2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/>
    </xf>
    <xf numFmtId="2" fontId="16" fillId="0" borderId="2" xfId="0" applyNumberFormat="1" applyFont="1" applyFill="1" applyBorder="1" applyAlignment="1">
      <alignment horizontal="right" vertical="top"/>
    </xf>
    <xf numFmtId="16" fontId="16" fillId="0" borderId="2" xfId="0" quotePrefix="1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horizontal="right" vertical="top"/>
    </xf>
    <xf numFmtId="0" fontId="19" fillId="0" borderId="0" xfId="25" applyFont="1"/>
    <xf numFmtId="0" fontId="26" fillId="0" borderId="0" xfId="25" applyFont="1"/>
    <xf numFmtId="0" fontId="18" fillId="6" borderId="2" xfId="0" applyFont="1" applyFill="1" applyBorder="1" applyAlignment="1">
      <alignment horizontal="center" vertical="center" wrapText="1"/>
    </xf>
    <xf numFmtId="0" fontId="20" fillId="6" borderId="2" xfId="25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left" vertical="center" wrapText="1"/>
    </xf>
    <xf numFmtId="166" fontId="21" fillId="7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64" fontId="21" fillId="0" borderId="2" xfId="0" applyNumberFormat="1" applyFont="1" applyFill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49" fontId="18" fillId="7" borderId="2" xfId="0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justify" vertical="center" wrapText="1"/>
    </xf>
    <xf numFmtId="166" fontId="29" fillId="0" borderId="2" xfId="0" applyNumberFormat="1" applyFont="1" applyBorder="1" applyAlignment="1">
      <alignment horizontal="center" vertical="center"/>
    </xf>
    <xf numFmtId="0" fontId="30" fillId="0" borderId="0" xfId="0" applyFont="1"/>
    <xf numFmtId="0" fontId="10" fillId="0" borderId="0" xfId="25" applyFont="1" applyBorder="1"/>
    <xf numFmtId="4" fontId="28" fillId="0" borderId="0" xfId="25" applyNumberFormat="1" applyBorder="1" applyAlignment="1">
      <alignment horizontal="center" vertical="center"/>
    </xf>
    <xf numFmtId="4" fontId="31" fillId="0" borderId="0" xfId="25" applyNumberFormat="1" applyFont="1" applyBorder="1" applyAlignment="1">
      <alignment horizontal="center" vertical="center"/>
    </xf>
    <xf numFmtId="0" fontId="32" fillId="0" borderId="0" xfId="0" applyFont="1"/>
    <xf numFmtId="167" fontId="29" fillId="0" borderId="2" xfId="24" applyNumberFormat="1" applyFont="1" applyFill="1" applyBorder="1" applyAlignment="1">
      <alignment horizontal="center" vertical="center"/>
    </xf>
    <xf numFmtId="168" fontId="29" fillId="0" borderId="2" xfId="0" applyNumberFormat="1" applyFont="1" applyBorder="1" applyAlignment="1">
      <alignment horizontal="center" vertical="center"/>
    </xf>
    <xf numFmtId="166" fontId="21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top" wrapText="1"/>
    </xf>
    <xf numFmtId="0" fontId="20" fillId="0" borderId="0" xfId="25" applyFont="1" applyAlignment="1">
      <alignment horizontal="center" vertical="center" wrapText="1"/>
    </xf>
    <xf numFmtId="167" fontId="29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0" fontId="20" fillId="6" borderId="3" xfId="25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164" fontId="20" fillId="7" borderId="3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4" fontId="28" fillId="3" borderId="0" xfId="25" applyNumberFormat="1" applyFill="1" applyBorder="1" applyAlignment="1">
      <alignment horizontal="center" vertical="center"/>
    </xf>
    <xf numFmtId="4" fontId="31" fillId="3" borderId="2" xfId="25" applyNumberFormat="1" applyFont="1" applyFill="1" applyBorder="1" applyAlignment="1">
      <alignment horizontal="center" vertical="center"/>
    </xf>
    <xf numFmtId="0" fontId="17" fillId="0" borderId="2" xfId="0" applyFont="1" applyBorder="1"/>
    <xf numFmtId="0" fontId="17" fillId="0" borderId="0" xfId="0" applyFont="1"/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5" xfId="0" applyFont="1" applyBorder="1"/>
    <xf numFmtId="49" fontId="29" fillId="0" borderId="2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left" vertical="top" wrapText="1"/>
    </xf>
    <xf numFmtId="166" fontId="17" fillId="0" borderId="2" xfId="0" applyNumberFormat="1" applyFont="1" applyBorder="1"/>
    <xf numFmtId="0" fontId="17" fillId="0" borderId="2" xfId="0" applyFont="1" applyFill="1" applyBorder="1"/>
    <xf numFmtId="0" fontId="0" fillId="0" borderId="2" xfId="0" applyFont="1" applyBorder="1"/>
    <xf numFmtId="0" fontId="0" fillId="0" borderId="0" xfId="0" applyFont="1"/>
    <xf numFmtId="49" fontId="29" fillId="3" borderId="2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left" vertical="top" wrapText="1"/>
    </xf>
    <xf numFmtId="164" fontId="29" fillId="3" borderId="3" xfId="0" applyNumberFormat="1" applyFont="1" applyFill="1" applyBorder="1" applyAlignment="1">
      <alignment horizontal="center" vertical="center"/>
    </xf>
    <xf numFmtId="166" fontId="29" fillId="3" borderId="2" xfId="0" applyNumberFormat="1" applyFont="1" applyFill="1" applyBorder="1" applyAlignment="1">
      <alignment horizontal="center" vertical="center"/>
    </xf>
    <xf numFmtId="49" fontId="34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164" fontId="17" fillId="0" borderId="2" xfId="0" applyNumberFormat="1" applyFont="1" applyBorder="1"/>
    <xf numFmtId="4" fontId="36" fillId="0" borderId="0" xfId="25" applyNumberFormat="1" applyFont="1" applyBorder="1" applyAlignment="1">
      <alignment horizontal="center" vertical="center"/>
    </xf>
    <xf numFmtId="0" fontId="19" fillId="0" borderId="0" xfId="25" applyFont="1" applyFill="1"/>
    <xf numFmtId="49" fontId="19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49" fontId="21" fillId="0" borderId="2" xfId="0" applyNumberFormat="1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49" fontId="18" fillId="8" borderId="2" xfId="0" applyNumberFormat="1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" fontId="37" fillId="0" borderId="2" xfId="25" applyNumberFormat="1" applyFont="1" applyBorder="1" applyAlignment="1">
      <alignment horizontal="center" vertical="center"/>
    </xf>
    <xf numFmtId="4" fontId="36" fillId="0" borderId="2" xfId="25" applyNumberFormat="1" applyFont="1" applyBorder="1" applyAlignment="1">
      <alignment horizontal="center" vertical="center"/>
    </xf>
    <xf numFmtId="4" fontId="28" fillId="0" borderId="2" xfId="25" applyNumberFormat="1" applyBorder="1" applyAlignment="1">
      <alignment horizontal="center" vertical="center"/>
    </xf>
    <xf numFmtId="0" fontId="20" fillId="0" borderId="0" xfId="25" applyFont="1" applyAlignment="1">
      <alignment horizontal="center" vertical="center" wrapText="1"/>
    </xf>
    <xf numFmtId="0" fontId="38" fillId="9" borderId="2" xfId="26" applyBorder="1" applyAlignment="1">
      <alignment horizontal="right" vertical="top" wrapText="1"/>
    </xf>
    <xf numFmtId="2" fontId="38" fillId="9" borderId="2" xfId="26" applyNumberFormat="1" applyBorder="1" applyAlignment="1">
      <alignment horizontal="right" vertical="top" wrapText="1"/>
    </xf>
    <xf numFmtId="0" fontId="20" fillId="6" borderId="12" xfId="25" applyFont="1" applyFill="1" applyBorder="1" applyAlignment="1">
      <alignment horizontal="center" vertical="center" wrapText="1"/>
    </xf>
    <xf numFmtId="14" fontId="0" fillId="0" borderId="0" xfId="0" applyNumberFormat="1"/>
    <xf numFmtId="49" fontId="29" fillId="10" borderId="2" xfId="0" applyNumberFormat="1" applyFont="1" applyFill="1" applyBorder="1" applyAlignment="1">
      <alignment horizontal="center" vertical="center" wrapText="1"/>
    </xf>
    <xf numFmtId="49" fontId="16" fillId="10" borderId="2" xfId="0" applyNumberFormat="1" applyFont="1" applyFill="1" applyBorder="1" applyAlignment="1">
      <alignment horizontal="left" vertical="top" wrapText="1"/>
    </xf>
    <xf numFmtId="164" fontId="29" fillId="10" borderId="3" xfId="0" applyNumberFormat="1" applyFont="1" applyFill="1" applyBorder="1" applyAlignment="1">
      <alignment horizontal="center" vertical="center"/>
    </xf>
    <xf numFmtId="166" fontId="29" fillId="10" borderId="2" xfId="0" applyNumberFormat="1" applyFont="1" applyFill="1" applyBorder="1" applyAlignment="1">
      <alignment horizontal="center" vertical="center"/>
    </xf>
    <xf numFmtId="49" fontId="21" fillId="10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left" vertical="top" wrapText="1"/>
    </xf>
    <xf numFmtId="49" fontId="34" fillId="10" borderId="2" xfId="0" applyNumberFormat="1" applyFont="1" applyFill="1" applyBorder="1" applyAlignment="1">
      <alignment horizontal="left" vertical="top" wrapText="1"/>
    </xf>
    <xf numFmtId="164" fontId="21" fillId="10" borderId="3" xfId="0" applyNumberFormat="1" applyFont="1" applyFill="1" applyBorder="1" applyAlignment="1">
      <alignment horizontal="center" vertical="center"/>
    </xf>
    <xf numFmtId="166" fontId="21" fillId="10" borderId="2" xfId="0" applyNumberFormat="1" applyFont="1" applyFill="1" applyBorder="1" applyAlignment="1">
      <alignment horizontal="center" vertical="center"/>
    </xf>
    <xf numFmtId="49" fontId="29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left" vertical="top" wrapText="1"/>
    </xf>
    <xf numFmtId="164" fontId="29" fillId="2" borderId="3" xfId="0" applyNumberFormat="1" applyFont="1" applyFill="1" applyBorder="1" applyAlignment="1">
      <alignment horizontal="center" vertical="center"/>
    </xf>
    <xf numFmtId="166" fontId="29" fillId="2" borderId="2" xfId="0" applyNumberFormat="1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center" vertical="center" wrapText="1"/>
    </xf>
    <xf numFmtId="164" fontId="21" fillId="4" borderId="3" xfId="0" applyNumberFormat="1" applyFont="1" applyFill="1" applyBorder="1" applyAlignment="1">
      <alignment horizontal="center" vertical="center"/>
    </xf>
    <xf numFmtId="166" fontId="21" fillId="4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top" wrapText="1"/>
    </xf>
    <xf numFmtId="164" fontId="21" fillId="2" borderId="3" xfId="0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>
      <alignment horizontal="center" vertical="center"/>
    </xf>
    <xf numFmtId="49" fontId="34" fillId="2" borderId="2" xfId="0" applyNumberFormat="1" applyFont="1" applyFill="1" applyBorder="1" applyAlignment="1">
      <alignment horizontal="left" vertical="top" wrapText="1"/>
    </xf>
    <xf numFmtId="167" fontId="29" fillId="2" borderId="2" xfId="0" applyNumberFormat="1" applyFont="1" applyFill="1" applyBorder="1" applyAlignment="1">
      <alignment horizontal="center" vertical="center"/>
    </xf>
    <xf numFmtId="168" fontId="29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/>
    <xf numFmtId="0" fontId="17" fillId="2" borderId="0" xfId="0" applyFont="1" applyFill="1"/>
    <xf numFmtId="167" fontId="17" fillId="0" borderId="2" xfId="0" applyNumberFormat="1" applyFont="1" applyBorder="1"/>
    <xf numFmtId="167" fontId="29" fillId="4" borderId="2" xfId="0" applyNumberFormat="1" applyFont="1" applyFill="1" applyBorder="1" applyAlignment="1">
      <alignment horizontal="center" vertical="center"/>
    </xf>
    <xf numFmtId="49" fontId="34" fillId="4" borderId="2" xfId="0" applyNumberFormat="1" applyFont="1" applyFill="1" applyBorder="1" applyAlignment="1">
      <alignment horizontal="left" vertical="top" wrapText="1"/>
    </xf>
    <xf numFmtId="49" fontId="29" fillId="4" borderId="2" xfId="0" applyNumberFormat="1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left" vertical="top" wrapText="1"/>
    </xf>
    <xf numFmtId="164" fontId="29" fillId="4" borderId="3" xfId="0" applyNumberFormat="1" applyFont="1" applyFill="1" applyBorder="1" applyAlignment="1">
      <alignment horizontal="center" vertical="center"/>
    </xf>
    <xf numFmtId="49" fontId="39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40" fillId="2" borderId="2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0" fontId="0" fillId="11" borderId="2" xfId="0" applyFill="1" applyBorder="1"/>
    <xf numFmtId="0" fontId="0" fillId="11" borderId="0" xfId="0" applyFill="1"/>
    <xf numFmtId="49" fontId="41" fillId="0" borderId="2" xfId="0" applyNumberFormat="1" applyFont="1" applyBorder="1" applyAlignment="1">
      <alignment horizontal="left" vertical="top" wrapText="1"/>
    </xf>
    <xf numFmtId="169" fontId="29" fillId="0" borderId="2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wrapText="1"/>
    </xf>
    <xf numFmtId="0" fontId="0" fillId="4" borderId="2" xfId="0" applyFill="1" applyBorder="1"/>
    <xf numFmtId="0" fontId="0" fillId="4" borderId="0" xfId="0" applyFill="1"/>
    <xf numFmtId="0" fontId="17" fillId="4" borderId="2" xfId="0" applyFont="1" applyFill="1" applyBorder="1"/>
    <xf numFmtId="49" fontId="41" fillId="0" borderId="2" xfId="0" applyNumberFormat="1" applyFont="1" applyFill="1" applyBorder="1" applyAlignment="1">
      <alignment horizontal="left" vertical="top" wrapText="1"/>
    </xf>
    <xf numFmtId="49" fontId="19" fillId="8" borderId="2" xfId="0" applyNumberFormat="1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left" vertical="center" wrapText="1"/>
    </xf>
    <xf numFmtId="164" fontId="21" fillId="8" borderId="3" xfId="0" applyNumberFormat="1" applyFont="1" applyFill="1" applyBorder="1" applyAlignment="1">
      <alignment horizontal="center" vertical="center"/>
    </xf>
    <xf numFmtId="166" fontId="21" fillId="8" borderId="2" xfId="0" applyNumberFormat="1" applyFont="1" applyFill="1" applyBorder="1" applyAlignment="1">
      <alignment horizontal="center" vertical="center"/>
    </xf>
    <xf numFmtId="0" fontId="0" fillId="10" borderId="2" xfId="0" applyFont="1" applyFill="1" applyBorder="1"/>
    <xf numFmtId="0" fontId="0" fillId="10" borderId="0" xfId="0" applyFont="1" applyFill="1"/>
    <xf numFmtId="0" fontId="17" fillId="10" borderId="2" xfId="0" applyFont="1" applyFill="1" applyBorder="1"/>
    <xf numFmtId="0" fontId="17" fillId="10" borderId="0" xfId="0" applyFont="1" applyFill="1"/>
    <xf numFmtId="0" fontId="17" fillId="10" borderId="2" xfId="0" applyFont="1" applyFill="1" applyBorder="1" applyAlignment="1">
      <alignment wrapText="1"/>
    </xf>
    <xf numFmtId="166" fontId="21" fillId="0" borderId="2" xfId="0" applyNumberFormat="1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left" vertical="top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left" vertical="top" wrapText="1"/>
    </xf>
    <xf numFmtId="49" fontId="21" fillId="7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center" wrapText="1"/>
    </xf>
    <xf numFmtId="164" fontId="20" fillId="0" borderId="3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 wrapText="1"/>
    </xf>
    <xf numFmtId="4" fontId="28" fillId="4" borderId="3" xfId="25" applyNumberFormat="1" applyFill="1" applyBorder="1" applyAlignment="1">
      <alignment horizontal="center" vertical="center"/>
    </xf>
    <xf numFmtId="0" fontId="27" fillId="0" borderId="0" xfId="25" applyFont="1" applyAlignment="1">
      <alignment horizontal="center" vertical="center" wrapText="1"/>
    </xf>
    <xf numFmtId="0" fontId="21" fillId="0" borderId="0" xfId="25" applyFont="1" applyAlignment="1">
      <alignment vertical="center"/>
    </xf>
    <xf numFmtId="0" fontId="21" fillId="0" borderId="0" xfId="25" applyFont="1" applyFill="1"/>
    <xf numFmtId="0" fontId="26" fillId="0" borderId="0" xfId="25" applyFont="1" applyFill="1"/>
    <xf numFmtId="0" fontId="21" fillId="0" borderId="0" xfId="0" applyFont="1"/>
    <xf numFmtId="0" fontId="21" fillId="0" borderId="0" xfId="25" applyFont="1"/>
    <xf numFmtId="0" fontId="26" fillId="0" borderId="0" xfId="25" applyFont="1" applyFill="1" applyAlignment="1">
      <alignment vertical="center"/>
    </xf>
    <xf numFmtId="0" fontId="20" fillId="6" borderId="0" xfId="25" applyFont="1" applyFill="1" applyBorder="1" applyAlignment="1">
      <alignment horizontal="center" vertical="center" wrapText="1"/>
    </xf>
    <xf numFmtId="168" fontId="21" fillId="7" borderId="2" xfId="0" applyNumberFormat="1" applyFont="1" applyFill="1" applyBorder="1" applyAlignment="1">
      <alignment horizontal="center" vertical="center"/>
    </xf>
    <xf numFmtId="164" fontId="20" fillId="7" borderId="2" xfId="0" applyNumberFormat="1" applyFont="1" applyFill="1" applyBorder="1" applyAlignment="1">
      <alignment horizontal="center" vertical="center"/>
    </xf>
    <xf numFmtId="168" fontId="21" fillId="0" borderId="2" xfId="0" applyNumberFormat="1" applyFont="1" applyBorder="1" applyAlignment="1">
      <alignment horizontal="center" vertical="center"/>
    </xf>
    <xf numFmtId="168" fontId="21" fillId="0" borderId="2" xfId="0" applyNumberFormat="1" applyFont="1" applyFill="1" applyBorder="1" applyAlignment="1">
      <alignment horizontal="center" vertical="center"/>
    </xf>
    <xf numFmtId="0" fontId="21" fillId="4" borderId="0" xfId="25" applyFont="1" applyFill="1" applyAlignment="1">
      <alignment vertical="center"/>
    </xf>
    <xf numFmtId="171" fontId="5" fillId="0" borderId="2" xfId="24" applyNumberFormat="1" applyFont="1" applyFill="1" applyBorder="1"/>
    <xf numFmtId="171" fontId="5" fillId="0" borderId="2" xfId="24" applyNumberFormat="1" applyFont="1" applyFill="1" applyBorder="1" applyAlignment="1">
      <alignment horizontal="right" vertical="top" wrapText="1"/>
    </xf>
    <xf numFmtId="171" fontId="5" fillId="0" borderId="2" xfId="24" applyNumberFormat="1" applyFont="1" applyFill="1" applyBorder="1" applyAlignment="1">
      <alignment horizontal="right" vertical="top"/>
    </xf>
    <xf numFmtId="171" fontId="16" fillId="0" borderId="2" xfId="24" applyNumberFormat="1" applyFont="1" applyFill="1" applyBorder="1"/>
    <xf numFmtId="171" fontId="16" fillId="0" borderId="2" xfId="24" applyNumberFormat="1" applyFont="1" applyBorder="1"/>
    <xf numFmtId="171" fontId="5" fillId="0" borderId="2" xfId="24" applyNumberFormat="1" applyFont="1" applyBorder="1" applyAlignment="1">
      <alignment horizontal="right" vertical="top" wrapText="1"/>
    </xf>
    <xf numFmtId="171" fontId="5" fillId="0" borderId="2" xfId="24" applyNumberFormat="1" applyFont="1" applyBorder="1" applyAlignment="1">
      <alignment horizontal="right" vertical="top"/>
    </xf>
    <xf numFmtId="171" fontId="5" fillId="0" borderId="2" xfId="24" applyNumberFormat="1" applyFont="1" applyBorder="1"/>
    <xf numFmtId="171" fontId="5" fillId="0" borderId="2" xfId="24" applyNumberFormat="1" applyFont="1" applyBorder="1" applyAlignment="1">
      <alignment wrapText="1"/>
    </xf>
    <xf numFmtId="171" fontId="0" fillId="0" borderId="2" xfId="24" applyNumberFormat="1" applyFont="1" applyFill="1" applyBorder="1"/>
    <xf numFmtId="166" fontId="37" fillId="2" borderId="2" xfId="25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167" fontId="21" fillId="3" borderId="2" xfId="0" applyNumberFormat="1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vertical="center"/>
    </xf>
    <xf numFmtId="0" fontId="0" fillId="12" borderId="2" xfId="0" applyFill="1" applyBorder="1"/>
    <xf numFmtId="0" fontId="20" fillId="12" borderId="2" xfId="25" applyFont="1" applyFill="1" applyBorder="1"/>
    <xf numFmtId="0" fontId="32" fillId="12" borderId="2" xfId="0" applyFont="1" applyFill="1" applyBorder="1"/>
    <xf numFmtId="4" fontId="18" fillId="12" borderId="2" xfId="25" applyNumberFormat="1" applyFont="1" applyFill="1" applyBorder="1" applyAlignment="1">
      <alignment horizontal="center" vertical="center"/>
    </xf>
    <xf numFmtId="170" fontId="27" fillId="12" borderId="2" xfId="25" applyNumberFormat="1" applyFont="1" applyFill="1" applyBorder="1" applyAlignment="1">
      <alignment horizontal="center" vertical="center"/>
    </xf>
    <xf numFmtId="0" fontId="20" fillId="12" borderId="2" xfId="0" applyFont="1" applyFill="1" applyBorder="1"/>
    <xf numFmtId="0" fontId="5" fillId="0" borderId="2" xfId="0" applyNumberFormat="1" applyFont="1" applyBorder="1" applyAlignment="1">
      <alignment horizontal="left" vertical="top" wrapText="1"/>
    </xf>
    <xf numFmtId="3" fontId="18" fillId="12" borderId="2" xfId="25" applyNumberFormat="1" applyFont="1" applyFill="1" applyBorder="1" applyAlignment="1">
      <alignment horizontal="center" vertical="center"/>
    </xf>
    <xf numFmtId="17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 applyAlignment="1">
      <alignment horizontal="right" vertical="top"/>
    </xf>
    <xf numFmtId="1" fontId="5" fillId="0" borderId="0" xfId="0" applyNumberFormat="1" applyFont="1" applyFill="1"/>
    <xf numFmtId="166" fontId="21" fillId="13" borderId="2" xfId="0" applyNumberFormat="1" applyFont="1" applyFill="1" applyBorder="1" applyAlignment="1">
      <alignment horizontal="center" vertical="center"/>
    </xf>
    <xf numFmtId="166" fontId="29" fillId="13" borderId="2" xfId="0" applyNumberFormat="1" applyFont="1" applyFill="1" applyBorder="1" applyAlignment="1">
      <alignment horizontal="center" vertical="center"/>
    </xf>
    <xf numFmtId="165" fontId="21" fillId="0" borderId="0" xfId="25" applyNumberFormat="1" applyFont="1" applyAlignment="1">
      <alignment horizontal="center" vertical="top"/>
    </xf>
    <xf numFmtId="165" fontId="21" fillId="0" borderId="0" xfId="0" applyNumberFormat="1" applyFont="1" applyAlignment="1">
      <alignment horizontal="center" vertical="center"/>
    </xf>
    <xf numFmtId="0" fontId="26" fillId="0" borderId="0" xfId="0" applyFont="1"/>
    <xf numFmtId="166" fontId="0" fillId="0" borderId="0" xfId="24" applyNumberFormat="1" applyFont="1"/>
    <xf numFmtId="3" fontId="21" fillId="7" borderId="2" xfId="0" applyNumberFormat="1" applyFont="1" applyFill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Fill="1" applyBorder="1" applyAlignment="1">
      <alignment horizontal="right" vertical="center"/>
    </xf>
    <xf numFmtId="0" fontId="0" fillId="0" borderId="0" xfId="0" applyBorder="1"/>
    <xf numFmtId="0" fontId="10" fillId="0" borderId="13" xfId="0" applyFont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4" fontId="0" fillId="0" borderId="2" xfId="0" applyNumberFormat="1" applyBorder="1"/>
    <xf numFmtId="0" fontId="26" fillId="4" borderId="0" xfId="25" applyFon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Fill="1"/>
    <xf numFmtId="169" fontId="0" fillId="0" borderId="0" xfId="24" applyNumberFormat="1" applyFont="1"/>
    <xf numFmtId="49" fontId="21" fillId="0" borderId="2" xfId="0" quotePrefix="1" applyNumberFormat="1" applyFont="1" applyFill="1" applyBorder="1" applyAlignment="1">
      <alignment horizontal="center" vertical="center" wrapText="1"/>
    </xf>
    <xf numFmtId="49" fontId="29" fillId="0" borderId="2" xfId="0" quotePrefix="1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left" vertical="center" wrapText="1"/>
    </xf>
    <xf numFmtId="164" fontId="21" fillId="7" borderId="2" xfId="0" applyNumberFormat="1" applyFont="1" applyFill="1" applyBorder="1" applyAlignment="1">
      <alignment horizontal="center" vertical="center"/>
    </xf>
    <xf numFmtId="0" fontId="0" fillId="7" borderId="2" xfId="0" applyFont="1" applyFill="1" applyBorder="1"/>
    <xf numFmtId="14" fontId="0" fillId="7" borderId="0" xfId="0" applyNumberFormat="1" applyFont="1" applyFill="1"/>
    <xf numFmtId="0" fontId="0" fillId="7" borderId="0" xfId="0" applyFont="1" applyFill="1"/>
    <xf numFmtId="49" fontId="19" fillId="7" borderId="2" xfId="0" applyNumberFormat="1" applyFont="1" applyFill="1" applyBorder="1" applyAlignment="1">
      <alignment horizontal="center" vertical="center" wrapText="1"/>
    </xf>
    <xf numFmtId="166" fontId="20" fillId="7" borderId="2" xfId="0" applyNumberFormat="1" applyFont="1" applyFill="1" applyBorder="1" applyAlignment="1">
      <alignment horizontal="center" vertical="center"/>
    </xf>
    <xf numFmtId="168" fontId="20" fillId="7" borderId="2" xfId="0" applyNumberFormat="1" applyFont="1" applyFill="1" applyBorder="1" applyAlignment="1">
      <alignment horizontal="center" vertical="center"/>
    </xf>
    <xf numFmtId="3" fontId="20" fillId="7" borderId="2" xfId="0" applyNumberFormat="1" applyFont="1" applyFill="1" applyBorder="1" applyAlignment="1">
      <alignment horizontal="right" vertical="center"/>
    </xf>
    <xf numFmtId="0" fontId="13" fillId="7" borderId="2" xfId="0" applyFont="1" applyFill="1" applyBorder="1"/>
    <xf numFmtId="14" fontId="13" fillId="7" borderId="0" xfId="0" applyNumberFormat="1" applyFont="1" applyFill="1"/>
    <xf numFmtId="0" fontId="13" fillId="7" borderId="0" xfId="0" applyFont="1" applyFill="1"/>
    <xf numFmtId="0" fontId="19" fillId="7" borderId="2" xfId="0" applyFont="1" applyFill="1" applyBorder="1" applyAlignment="1">
      <alignment horizontal="justify" vertical="center" wrapText="1"/>
    </xf>
    <xf numFmtId="4" fontId="21" fillId="7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ont="1" applyFill="1"/>
    <xf numFmtId="166" fontId="0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168" fontId="21" fillId="3" borderId="2" xfId="0" applyNumberFormat="1" applyFont="1" applyFill="1" applyBorder="1" applyAlignment="1">
      <alignment horizontal="center" vertical="center"/>
    </xf>
    <xf numFmtId="3" fontId="21" fillId="3" borderId="2" xfId="0" applyNumberFormat="1" applyFont="1" applyFill="1" applyBorder="1" applyAlignment="1">
      <alignment horizontal="right" vertical="center"/>
    </xf>
    <xf numFmtId="0" fontId="0" fillId="3" borderId="2" xfId="0" applyFill="1" applyBorder="1"/>
    <xf numFmtId="0" fontId="0" fillId="3" borderId="0" xfId="0" applyFill="1"/>
    <xf numFmtId="0" fontId="0" fillId="3" borderId="2" xfId="0" applyFont="1" applyFill="1" applyBorder="1"/>
    <xf numFmtId="0" fontId="0" fillId="3" borderId="0" xfId="0" applyFont="1" applyFill="1"/>
    <xf numFmtId="167" fontId="21" fillId="0" borderId="2" xfId="0" applyNumberFormat="1" applyFont="1" applyFill="1" applyBorder="1" applyAlignment="1">
      <alignment horizontal="center" vertical="center"/>
    </xf>
    <xf numFmtId="4" fontId="37" fillId="0" borderId="2" xfId="25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167" fontId="21" fillId="0" borderId="2" xfId="24" applyNumberFormat="1" applyFont="1" applyFill="1" applyBorder="1" applyAlignment="1">
      <alignment horizontal="center" vertical="center"/>
    </xf>
    <xf numFmtId="166" fontId="21" fillId="0" borderId="2" xfId="24" applyNumberFormat="1" applyFont="1" applyFill="1" applyBorder="1" applyAlignment="1">
      <alignment horizontal="center" vertical="center"/>
    </xf>
    <xf numFmtId="168" fontId="29" fillId="0" borderId="2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wrapText="1"/>
    </xf>
    <xf numFmtId="0" fontId="17" fillId="0" borderId="0" xfId="0" applyFont="1" applyFill="1"/>
    <xf numFmtId="3" fontId="29" fillId="0" borderId="2" xfId="24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/>
    </xf>
    <xf numFmtId="49" fontId="43" fillId="0" borderId="2" xfId="0" applyNumberFormat="1" applyFont="1" applyFill="1" applyBorder="1" applyAlignment="1">
      <alignment horizontal="left" vertical="top" wrapText="1"/>
    </xf>
    <xf numFmtId="170" fontId="20" fillId="0" borderId="2" xfId="25" applyNumberFormat="1" applyFont="1" applyFill="1" applyBorder="1" applyAlignment="1">
      <alignment horizontal="center" vertical="center"/>
    </xf>
    <xf numFmtId="3" fontId="20" fillId="0" borderId="2" xfId="25" applyNumberFormat="1" applyFont="1" applyFill="1" applyBorder="1" applyAlignment="1">
      <alignment horizontal="right" vertical="center"/>
    </xf>
    <xf numFmtId="1" fontId="0" fillId="3" borderId="2" xfId="0" applyNumberFormat="1" applyFill="1" applyBorder="1"/>
    <xf numFmtId="165" fontId="21" fillId="0" borderId="2" xfId="25" applyNumberFormat="1" applyFont="1" applyFill="1" applyBorder="1" applyAlignment="1">
      <alignment horizontal="center" vertical="top"/>
    </xf>
    <xf numFmtId="167" fontId="0" fillId="0" borderId="2" xfId="0" applyNumberFormat="1" applyFont="1" applyFill="1" applyBorder="1"/>
    <xf numFmtId="169" fontId="29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/>
    <xf numFmtId="164" fontId="0" fillId="0" borderId="2" xfId="0" applyNumberFormat="1" applyFont="1" applyFill="1" applyBorder="1"/>
    <xf numFmtId="49" fontId="20" fillId="7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wrapText="1"/>
    </xf>
    <xf numFmtId="0" fontId="0" fillId="7" borderId="2" xfId="0" applyFont="1" applyFill="1" applyBorder="1" applyAlignment="1">
      <alignment wrapText="1"/>
    </xf>
    <xf numFmtId="4" fontId="37" fillId="7" borderId="2" xfId="25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7" borderId="2" xfId="0" applyNumberFormat="1" applyFont="1" applyFill="1" applyBorder="1" applyAlignment="1">
      <alignment horizontal="left" vertical="top" wrapText="1"/>
    </xf>
    <xf numFmtId="0" fontId="33" fillId="7" borderId="11" xfId="0" applyFont="1" applyFill="1" applyBorder="1" applyAlignment="1">
      <alignment horizontal="center" vertical="center" wrapText="1"/>
    </xf>
    <xf numFmtId="167" fontId="40" fillId="7" borderId="2" xfId="0" applyNumberFormat="1" applyFont="1" applyFill="1" applyBorder="1" applyAlignment="1">
      <alignment horizontal="center" vertical="center"/>
    </xf>
    <xf numFmtId="0" fontId="33" fillId="7" borderId="2" xfId="0" applyFont="1" applyFill="1" applyBorder="1"/>
    <xf numFmtId="0" fontId="33" fillId="7" borderId="0" xfId="0" applyFont="1" applyFill="1"/>
    <xf numFmtId="49" fontId="6" fillId="7" borderId="2" xfId="0" applyNumberFormat="1" applyFont="1" applyFill="1" applyBorder="1" applyAlignment="1">
      <alignment horizontal="left" vertical="center" wrapText="1"/>
    </xf>
    <xf numFmtId="4" fontId="36" fillId="0" borderId="2" xfId="25" applyNumberFormat="1" applyFont="1" applyFill="1" applyBorder="1" applyAlignment="1">
      <alignment horizontal="center" vertical="center"/>
    </xf>
    <xf numFmtId="3" fontId="21" fillId="7" borderId="2" xfId="24" applyNumberFormat="1" applyFont="1" applyFill="1" applyBorder="1" applyAlignment="1">
      <alignment horizontal="right" vertical="center"/>
    </xf>
    <xf numFmtId="0" fontId="21" fillId="7" borderId="2" xfId="0" applyFont="1" applyFill="1" applyBorder="1" applyAlignment="1">
      <alignment horizontal="left" vertical="center" wrapText="1"/>
    </xf>
    <xf numFmtId="166" fontId="37" fillId="7" borderId="2" xfId="25" applyNumberFormat="1" applyFont="1" applyFill="1" applyBorder="1" applyAlignment="1">
      <alignment horizontal="center" vertical="center"/>
    </xf>
    <xf numFmtId="0" fontId="21" fillId="0" borderId="0" xfId="25" applyFont="1" applyFill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21" fillId="6" borderId="2" xfId="25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4" fontId="20" fillId="7" borderId="2" xfId="0" applyNumberFormat="1" applyFont="1" applyFill="1" applyBorder="1" applyAlignment="1">
      <alignment horizontal="right" vertical="center"/>
    </xf>
    <xf numFmtId="4" fontId="21" fillId="7" borderId="2" xfId="0" applyNumberFormat="1" applyFont="1" applyFill="1" applyBorder="1" applyAlignment="1">
      <alignment horizontal="right" vertical="center"/>
    </xf>
    <xf numFmtId="4" fontId="21" fillId="0" borderId="2" xfId="0" applyNumberFormat="1" applyFont="1" applyFill="1" applyBorder="1" applyAlignment="1">
      <alignment horizontal="right" vertical="center"/>
    </xf>
    <xf numFmtId="4" fontId="29" fillId="0" borderId="2" xfId="0" applyNumberFormat="1" applyFont="1" applyFill="1" applyBorder="1" applyAlignment="1">
      <alignment horizontal="right" vertical="center"/>
    </xf>
    <xf numFmtId="4" fontId="29" fillId="0" borderId="2" xfId="24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/>
    </xf>
    <xf numFmtId="4" fontId="20" fillId="0" borderId="2" xfId="25" applyNumberFormat="1" applyFont="1" applyFill="1" applyBorder="1" applyAlignment="1">
      <alignment horizontal="right" vertical="center"/>
    </xf>
    <xf numFmtId="4" fontId="21" fillId="3" borderId="2" xfId="0" applyNumberFormat="1" applyFont="1" applyFill="1" applyBorder="1" applyAlignment="1">
      <alignment horizontal="right" vertical="center"/>
    </xf>
    <xf numFmtId="4" fontId="21" fillId="0" borderId="2" xfId="0" applyNumberFormat="1" applyFont="1" applyBorder="1" applyAlignment="1">
      <alignment horizontal="right" vertical="center"/>
    </xf>
    <xf numFmtId="4" fontId="20" fillId="7" borderId="2" xfId="0" applyNumberFormat="1" applyFont="1" applyFill="1" applyBorder="1" applyAlignment="1">
      <alignment horizontal="center" vertical="center"/>
    </xf>
    <xf numFmtId="4" fontId="21" fillId="7" borderId="2" xfId="24" applyNumberFormat="1" applyFont="1" applyFill="1" applyBorder="1" applyAlignment="1">
      <alignment horizontal="right" vertical="center"/>
    </xf>
    <xf numFmtId="0" fontId="10" fillId="0" borderId="0" xfId="21"/>
    <xf numFmtId="0" fontId="10" fillId="0" borderId="0" xfId="21" applyFont="1"/>
    <xf numFmtId="49" fontId="10" fillId="0" borderId="0" xfId="21" applyNumberFormat="1" applyFont="1"/>
    <xf numFmtId="49" fontId="10" fillId="0" borderId="0" xfId="21" applyNumberFormat="1"/>
    <xf numFmtId="49" fontId="44" fillId="0" borderId="0" xfId="21" applyNumberFormat="1" applyFont="1"/>
    <xf numFmtId="0" fontId="44" fillId="0" borderId="0" xfId="21" applyFont="1"/>
    <xf numFmtId="0" fontId="46" fillId="0" borderId="0" xfId="21" applyFont="1" applyBorder="1" applyAlignment="1"/>
    <xf numFmtId="4" fontId="10" fillId="0" borderId="0" xfId="21" applyNumberFormat="1" applyFont="1" applyAlignment="1">
      <alignment vertical="center" wrapText="1"/>
    </xf>
    <xf numFmtId="1" fontId="20" fillId="0" borderId="0" xfId="0" applyNumberFormat="1" applyFont="1"/>
    <xf numFmtId="0" fontId="20" fillId="0" borderId="0" xfId="0" applyFont="1"/>
    <xf numFmtId="14" fontId="20" fillId="0" borderId="0" xfId="0" applyNumberFormat="1" applyFont="1"/>
    <xf numFmtId="4" fontId="20" fillId="0" borderId="0" xfId="0" applyNumberFormat="1" applyFont="1" applyFill="1" applyBorder="1" applyAlignment="1">
      <alignment horizontal="right"/>
    </xf>
    <xf numFmtId="49" fontId="21" fillId="7" borderId="2" xfId="0" applyNumberFormat="1" applyFont="1" applyFill="1" applyBorder="1" applyAlignment="1">
      <alignment horizontal="left" vertical="top" wrapText="1"/>
    </xf>
    <xf numFmtId="0" fontId="21" fillId="12" borderId="2" xfId="0" applyFont="1" applyFill="1" applyBorder="1"/>
    <xf numFmtId="0" fontId="19" fillId="7" borderId="2" xfId="0" applyFont="1" applyFill="1" applyBorder="1" applyAlignment="1">
      <alignment horizontal="center" vertical="center" wrapText="1"/>
    </xf>
    <xf numFmtId="49" fontId="21" fillId="7" borderId="2" xfId="0" applyNumberFormat="1" applyFont="1" applyFill="1" applyBorder="1" applyAlignment="1">
      <alignment horizontal="left" vertical="center" wrapText="1"/>
    </xf>
    <xf numFmtId="0" fontId="21" fillId="12" borderId="2" xfId="0" applyFont="1" applyFill="1" applyBorder="1" applyAlignment="1">
      <alignment vertical="center"/>
    </xf>
    <xf numFmtId="0" fontId="21" fillId="12" borderId="2" xfId="25" applyFont="1" applyFill="1" applyBorder="1"/>
    <xf numFmtId="0" fontId="0" fillId="7" borderId="11" xfId="0" applyFont="1" applyFill="1" applyBorder="1"/>
    <xf numFmtId="14" fontId="0" fillId="4" borderId="0" xfId="0" applyNumberFormat="1" applyFill="1"/>
    <xf numFmtId="14" fontId="0" fillId="0" borderId="2" xfId="0" applyNumberFormat="1" applyFill="1" applyBorder="1"/>
    <xf numFmtId="14" fontId="0" fillId="8" borderId="2" xfId="0" applyNumberFormat="1" applyFill="1" applyBorder="1"/>
    <xf numFmtId="0" fontId="0" fillId="8" borderId="2" xfId="0" applyFill="1" applyBorder="1"/>
    <xf numFmtId="0" fontId="0" fillId="0" borderId="2" xfId="0" applyFill="1" applyBorder="1"/>
    <xf numFmtId="166" fontId="21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165" fontId="13" fillId="0" borderId="2" xfId="0" applyNumberFormat="1" applyFont="1" applyFill="1" applyBorder="1"/>
    <xf numFmtId="174" fontId="0" fillId="0" borderId="2" xfId="0" applyNumberFormat="1" applyBorder="1"/>
    <xf numFmtId="168" fontId="21" fillId="0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Border="1"/>
    <xf numFmtId="4" fontId="48" fillId="7" borderId="2" xfId="25" applyNumberFormat="1" applyFont="1" applyFill="1" applyBorder="1" applyAlignment="1">
      <alignment horizontal="center" vertical="center"/>
    </xf>
    <xf numFmtId="0" fontId="13" fillId="7" borderId="0" xfId="0" applyFont="1" applyFill="1" applyBorder="1"/>
    <xf numFmtId="49" fontId="20" fillId="2" borderId="2" xfId="0" applyNumberFormat="1" applyFont="1" applyFill="1" applyBorder="1" applyAlignment="1">
      <alignment horizontal="center" vertical="center" wrapText="1"/>
    </xf>
    <xf numFmtId="4" fontId="48" fillId="2" borderId="2" xfId="25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/>
    <xf numFmtId="4" fontId="37" fillId="2" borderId="2" xfId="25" applyNumberFormat="1" applyFont="1" applyFill="1" applyBorder="1" applyAlignment="1">
      <alignment horizontal="center" vertical="center"/>
    </xf>
    <xf numFmtId="168" fontId="21" fillId="2" borderId="2" xfId="0" applyNumberFormat="1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 horizontal="right" vertical="center"/>
    </xf>
    <xf numFmtId="0" fontId="20" fillId="12" borderId="5" xfId="0" applyFont="1" applyFill="1" applyBorder="1"/>
    <xf numFmtId="0" fontId="20" fillId="12" borderId="5" xfId="25" applyFont="1" applyFill="1" applyBorder="1"/>
    <xf numFmtId="4" fontId="18" fillId="12" borderId="5" xfId="25" applyNumberFormat="1" applyFont="1" applyFill="1" applyBorder="1" applyAlignment="1">
      <alignment horizontal="center" vertical="center"/>
    </xf>
    <xf numFmtId="0" fontId="20" fillId="8" borderId="2" xfId="25" applyFont="1" applyFill="1" applyBorder="1"/>
    <xf numFmtId="168" fontId="20" fillId="0" borderId="2" xfId="0" applyNumberFormat="1" applyFont="1" applyFill="1" applyBorder="1" applyAlignment="1">
      <alignment horizontal="center" vertical="center" wrapText="1"/>
    </xf>
    <xf numFmtId="1" fontId="0" fillId="8" borderId="2" xfId="0" applyNumberFormat="1" applyFill="1" applyBorder="1"/>
    <xf numFmtId="0" fontId="28" fillId="0" borderId="0" xfId="25"/>
    <xf numFmtId="0" fontId="50" fillId="6" borderId="2" xfId="25" applyFont="1" applyFill="1" applyBorder="1" applyAlignment="1">
      <alignment horizontal="center" vertical="center" wrapText="1"/>
    </xf>
    <xf numFmtId="0" fontId="50" fillId="6" borderId="5" xfId="25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28" fillId="6" borderId="2" xfId="25" applyFill="1" applyBorder="1" applyAlignment="1">
      <alignment horizontal="center" vertical="center"/>
    </xf>
    <xf numFmtId="0" fontId="51" fillId="6" borderId="2" xfId="25" applyFont="1" applyFill="1" applyBorder="1" applyAlignment="1">
      <alignment horizontal="center"/>
    </xf>
    <xf numFmtId="0" fontId="28" fillId="6" borderId="2" xfId="25" applyFill="1" applyBorder="1" applyAlignment="1">
      <alignment horizontal="center"/>
    </xf>
    <xf numFmtId="0" fontId="50" fillId="14" borderId="2" xfId="25" applyFont="1" applyFill="1" applyBorder="1" applyAlignment="1">
      <alignment horizontal="center" vertical="center" wrapText="1"/>
    </xf>
    <xf numFmtId="0" fontId="52" fillId="14" borderId="2" xfId="25" applyFont="1" applyFill="1" applyBorder="1" applyAlignment="1">
      <alignment horizontal="left" vertical="center" wrapText="1"/>
    </xf>
    <xf numFmtId="170" fontId="53" fillId="0" borderId="2" xfId="25" applyNumberFormat="1" applyFont="1" applyBorder="1" applyAlignment="1">
      <alignment horizontal="center" vertical="center"/>
    </xf>
    <xf numFmtId="3" fontId="53" fillId="0" borderId="2" xfId="25" applyNumberFormat="1" applyFont="1" applyBorder="1" applyAlignment="1">
      <alignment horizontal="center" vertical="center"/>
    </xf>
    <xf numFmtId="175" fontId="53" fillId="0" borderId="2" xfId="25" applyNumberFormat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/>
    </xf>
    <xf numFmtId="0" fontId="50" fillId="14" borderId="2" xfId="25" applyFont="1" applyFill="1" applyBorder="1" applyAlignment="1">
      <alignment horizontal="left" vertical="center" wrapText="1"/>
    </xf>
    <xf numFmtId="0" fontId="37" fillId="0" borderId="0" xfId="25" applyFont="1" applyAlignment="1">
      <alignment vertical="center" wrapText="1"/>
    </xf>
    <xf numFmtId="0" fontId="31" fillId="0" borderId="0" xfId="25" applyFont="1"/>
    <xf numFmtId="0" fontId="31" fillId="0" borderId="0" xfId="25" applyFont="1" applyAlignment="1">
      <alignment vertical="center"/>
    </xf>
    <xf numFmtId="0" fontId="50" fillId="14" borderId="14" xfId="25" applyFont="1" applyFill="1" applyBorder="1" applyAlignment="1">
      <alignment horizontal="left" vertical="center" wrapText="1"/>
    </xf>
    <xf numFmtId="3" fontId="28" fillId="0" borderId="2" xfId="25" applyNumberFormat="1" applyBorder="1"/>
    <xf numFmtId="4" fontId="53" fillId="0" borderId="2" xfId="25" applyNumberFormat="1" applyFont="1" applyBorder="1" applyAlignment="1">
      <alignment horizontal="center" vertical="center"/>
    </xf>
    <xf numFmtId="0" fontId="28" fillId="0" borderId="2" xfId="25" applyBorder="1"/>
    <xf numFmtId="3" fontId="28" fillId="0" borderId="0" xfId="25" applyNumberFormat="1"/>
    <xf numFmtId="165" fontId="10" fillId="0" borderId="0" xfId="1" applyNumberFormat="1" applyAlignment="1">
      <alignment horizontal="center" vertical="top"/>
    </xf>
    <xf numFmtId="165" fontId="10" fillId="0" borderId="0" xfId="1" applyNumberFormat="1"/>
    <xf numFmtId="0" fontId="10" fillId="0" borderId="0" xfId="1"/>
    <xf numFmtId="0" fontId="10" fillId="0" borderId="0" xfId="1" applyFont="1"/>
    <xf numFmtId="0" fontId="10" fillId="0" borderId="0" xfId="1" applyFont="1" applyFill="1"/>
    <xf numFmtId="0" fontId="44" fillId="0" borderId="0" xfId="1" applyFont="1"/>
    <xf numFmtId="176" fontId="28" fillId="0" borderId="0" xfId="25" applyNumberFormat="1" applyAlignment="1">
      <alignment horizontal="right" vertical="top"/>
    </xf>
    <xf numFmtId="3" fontId="28" fillId="0" borderId="15" xfId="25" applyNumberFormat="1" applyBorder="1" applyAlignment="1">
      <alignment horizontal="right" vertical="top"/>
    </xf>
    <xf numFmtId="0" fontId="10" fillId="0" borderId="0" xfId="1" applyFont="1" applyAlignment="1">
      <alignment wrapText="1"/>
    </xf>
    <xf numFmtId="14" fontId="10" fillId="0" borderId="0" xfId="1" applyNumberFormat="1" applyFont="1" applyBorder="1" applyAlignment="1">
      <alignment horizontal="center" vertical="center" wrapText="1"/>
    </xf>
    <xf numFmtId="14" fontId="10" fillId="0" borderId="0" xfId="1" applyNumberFormat="1" applyFont="1" applyAlignment="1">
      <alignment horizontal="center"/>
    </xf>
    <xf numFmtId="10" fontId="51" fillId="0" borderId="0" xfId="25" applyNumberFormat="1" applyFont="1"/>
    <xf numFmtId="0" fontId="10" fillId="0" borderId="0" xfId="25" applyFont="1"/>
    <xf numFmtId="0" fontId="10" fillId="0" borderId="0" xfId="25" applyFont="1" applyAlignment="1">
      <alignment horizontal="left"/>
    </xf>
    <xf numFmtId="0" fontId="10" fillId="0" borderId="0" xfId="25" applyFont="1" applyAlignment="1">
      <alignment horizontal="center" vertical="center"/>
    </xf>
    <xf numFmtId="0" fontId="51" fillId="0" borderId="0" xfId="25" applyFont="1"/>
    <xf numFmtId="173" fontId="51" fillId="0" borderId="0" xfId="25" applyNumberFormat="1" applyFont="1" applyAlignment="1">
      <alignment vertical="center"/>
    </xf>
    <xf numFmtId="173" fontId="44" fillId="0" borderId="0" xfId="1" applyNumberFormat="1" applyFont="1"/>
    <xf numFmtId="0" fontId="10" fillId="0" borderId="0" xfId="25" applyFont="1" applyAlignment="1">
      <alignment wrapText="1"/>
    </xf>
    <xf numFmtId="173" fontId="51" fillId="0" borderId="0" xfId="25" applyNumberFormat="1" applyFont="1"/>
    <xf numFmtId="0" fontId="54" fillId="0" borderId="0" xfId="1" applyFont="1"/>
    <xf numFmtId="0" fontId="55" fillId="0" borderId="0" xfId="1" applyFont="1"/>
    <xf numFmtId="4" fontId="17" fillId="0" borderId="2" xfId="0" applyNumberFormat="1" applyFont="1" applyFill="1" applyBorder="1" applyAlignment="1">
      <alignment horizontal="right" vertical="top"/>
    </xf>
    <xf numFmtId="0" fontId="38" fillId="0" borderId="2" xfId="26" applyFill="1" applyBorder="1" applyAlignment="1">
      <alignment horizontal="right" vertical="top" wrapText="1"/>
    </xf>
    <xf numFmtId="4" fontId="6" fillId="0" borderId="2" xfId="1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/>
    <xf numFmtId="171" fontId="16" fillId="0" borderId="2" xfId="24" applyNumberFormat="1" applyFont="1" applyFill="1" applyBorder="1" applyAlignment="1">
      <alignment horizontal="right" vertical="top" wrapText="1"/>
    </xf>
    <xf numFmtId="4" fontId="38" fillId="0" borderId="2" xfId="26" applyNumberFormat="1" applyFill="1" applyBorder="1" applyAlignment="1">
      <alignment horizontal="right" vertical="top" wrapText="1"/>
    </xf>
    <xf numFmtId="2" fontId="38" fillId="0" borderId="2" xfId="26" applyNumberFormat="1" applyFill="1" applyBorder="1" applyAlignment="1">
      <alignment horizontal="right" vertical="top"/>
    </xf>
    <xf numFmtId="0" fontId="5" fillId="15" borderId="0" xfId="1" applyFont="1" applyFill="1" applyAlignment="1">
      <alignment horizontal="center" vertical="top"/>
    </xf>
    <xf numFmtId="49" fontId="5" fillId="15" borderId="0" xfId="1" applyNumberFormat="1" applyFont="1" applyFill="1" applyAlignment="1">
      <alignment horizontal="left" vertical="top"/>
    </xf>
    <xf numFmtId="0" fontId="5" fillId="15" borderId="0" xfId="1" applyFont="1" applyFill="1" applyAlignment="1">
      <alignment horizontal="right" vertical="top"/>
    </xf>
    <xf numFmtId="2" fontId="5" fillId="15" borderId="0" xfId="1" applyNumberFormat="1" applyFont="1" applyFill="1" applyAlignment="1">
      <alignment horizontal="right" vertical="top"/>
    </xf>
    <xf numFmtId="0" fontId="5" fillId="15" borderId="0" xfId="0" applyFont="1" applyFill="1"/>
    <xf numFmtId="166" fontId="5" fillId="15" borderId="0" xfId="24" applyNumberFormat="1" applyFont="1" applyFill="1"/>
    <xf numFmtId="0" fontId="5" fillId="15" borderId="2" xfId="1" applyFont="1" applyFill="1" applyBorder="1" applyAlignment="1">
      <alignment horizontal="center" vertical="top"/>
    </xf>
    <xf numFmtId="49" fontId="5" fillId="15" borderId="2" xfId="1" applyNumberFormat="1" applyFont="1" applyFill="1" applyBorder="1" applyAlignment="1">
      <alignment horizontal="left" vertical="top" wrapText="1"/>
    </xf>
    <xf numFmtId="0" fontId="5" fillId="15" borderId="2" xfId="1" applyFont="1" applyFill="1" applyBorder="1" applyAlignment="1">
      <alignment horizontal="right" vertical="top" wrapText="1"/>
    </xf>
    <xf numFmtId="2" fontId="5" fillId="15" borderId="2" xfId="1" applyNumberFormat="1" applyFont="1" applyFill="1" applyBorder="1" applyAlignment="1">
      <alignment horizontal="right" vertical="top" wrapText="1"/>
    </xf>
    <xf numFmtId="164" fontId="5" fillId="15" borderId="2" xfId="2" applyFont="1" applyFill="1" applyBorder="1" applyAlignment="1">
      <alignment horizontal="right" vertical="top" wrapText="1"/>
    </xf>
    <xf numFmtId="171" fontId="5" fillId="15" borderId="2" xfId="24" applyNumberFormat="1" applyFont="1" applyFill="1" applyBorder="1"/>
    <xf numFmtId="0" fontId="6" fillId="0" borderId="0" xfId="0" applyFont="1" applyAlignment="1">
      <alignment wrapText="1"/>
    </xf>
    <xf numFmtId="2" fontId="6" fillId="0" borderId="0" xfId="0" applyNumberFormat="1" applyFont="1"/>
    <xf numFmtId="4" fontId="52" fillId="0" borderId="2" xfId="25" applyNumberFormat="1" applyFont="1" applyFill="1" applyBorder="1" applyAlignment="1">
      <alignment horizontal="center" vertical="center" wrapText="1"/>
    </xf>
    <xf numFmtId="3" fontId="52" fillId="0" borderId="2" xfId="25" applyNumberFormat="1" applyFont="1" applyFill="1" applyBorder="1" applyAlignment="1">
      <alignment horizontal="center" vertical="center" wrapText="1"/>
    </xf>
    <xf numFmtId="3" fontId="52" fillId="0" borderId="2" xfId="25" applyNumberFormat="1" applyFont="1" applyFill="1" applyBorder="1" applyAlignment="1">
      <alignment horizontal="center" vertical="center"/>
    </xf>
    <xf numFmtId="4" fontId="52" fillId="0" borderId="2" xfId="25" applyNumberFormat="1" applyFont="1" applyFill="1" applyBorder="1" applyAlignment="1">
      <alignment horizontal="center" vertical="center"/>
    </xf>
    <xf numFmtId="0" fontId="51" fillId="0" borderId="0" xfId="25" applyFont="1" applyFill="1"/>
    <xf numFmtId="164" fontId="21" fillId="7" borderId="2" xfId="24" applyFont="1" applyFill="1" applyBorder="1" applyAlignment="1">
      <alignment vertical="center"/>
    </xf>
    <xf numFmtId="166" fontId="21" fillId="7" borderId="2" xfId="24" applyNumberFormat="1" applyFont="1" applyFill="1" applyBorder="1" applyAlignment="1">
      <alignment vertical="center"/>
    </xf>
    <xf numFmtId="164" fontId="19" fillId="12" borderId="2" xfId="24" applyFont="1" applyFill="1" applyBorder="1" applyAlignment="1">
      <alignment vertical="center"/>
    </xf>
    <xf numFmtId="166" fontId="19" fillId="12" borderId="2" xfId="24" applyNumberFormat="1" applyFont="1" applyFill="1" applyBorder="1" applyAlignment="1">
      <alignment vertical="center"/>
    </xf>
    <xf numFmtId="0" fontId="1" fillId="0" borderId="0" xfId="28"/>
    <xf numFmtId="0" fontId="18" fillId="0" borderId="0" xfId="28" applyFont="1" applyAlignment="1">
      <alignment horizontal="center" vertical="center"/>
    </xf>
    <xf numFmtId="0" fontId="18" fillId="0" borderId="2" xfId="28" applyFont="1" applyBorder="1" applyAlignment="1">
      <alignment horizontal="center" vertical="center" wrapText="1"/>
    </xf>
    <xf numFmtId="0" fontId="19" fillId="0" borderId="2" xfId="28" applyFont="1" applyBorder="1" applyAlignment="1">
      <alignment horizontal="center" vertical="center" wrapText="1"/>
    </xf>
    <xf numFmtId="0" fontId="18" fillId="0" borderId="2" xfId="28" applyFont="1" applyBorder="1" applyAlignment="1">
      <alignment horizontal="left" vertical="center" wrapText="1"/>
    </xf>
    <xf numFmtId="0" fontId="18" fillId="0" borderId="2" xfId="28" applyFont="1" applyBorder="1" applyAlignment="1">
      <alignment horizontal="justify" vertical="center" wrapText="1"/>
    </xf>
    <xf numFmtId="14" fontId="19" fillId="0" borderId="2" xfId="28" applyNumberFormat="1" applyFont="1" applyBorder="1" applyAlignment="1">
      <alignment horizontal="center" vertical="center" wrapText="1"/>
    </xf>
    <xf numFmtId="0" fontId="19" fillId="0" borderId="2" xfId="28" applyFont="1" applyBorder="1" applyAlignment="1">
      <alignment horizontal="left" vertical="center" wrapText="1" indent="3"/>
    </xf>
    <xf numFmtId="0" fontId="1" fillId="0" borderId="0" xfId="28" applyAlignment="1">
      <alignment horizontal="center"/>
    </xf>
    <xf numFmtId="1" fontId="0" fillId="0" borderId="2" xfId="0" applyNumberFormat="1" applyFill="1" applyBorder="1"/>
    <xf numFmtId="49" fontId="18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2" fontId="10" fillId="0" borderId="2" xfId="0" applyNumberFormat="1" applyFont="1" applyBorder="1"/>
    <xf numFmtId="165" fontId="0" fillId="0" borderId="2" xfId="0" applyNumberFormat="1" applyFill="1" applyBorder="1"/>
    <xf numFmtId="0" fontId="10" fillId="0" borderId="2" xfId="0" applyFont="1" applyBorder="1"/>
    <xf numFmtId="10" fontId="10" fillId="0" borderId="2" xfId="0" applyNumberFormat="1" applyFont="1" applyBorder="1"/>
    <xf numFmtId="173" fontId="10" fillId="0" borderId="2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right" vertical="center" wrapText="1"/>
    </xf>
    <xf numFmtId="165" fontId="10" fillId="0" borderId="2" xfId="0" applyNumberFormat="1" applyFont="1" applyBorder="1" applyAlignment="1">
      <alignment wrapText="1"/>
    </xf>
    <xf numFmtId="165" fontId="42" fillId="0" borderId="2" xfId="0" applyNumberFormat="1" applyFont="1" applyBorder="1"/>
    <xf numFmtId="166" fontId="37" fillId="0" borderId="2" xfId="25" applyNumberFormat="1" applyFont="1" applyFill="1" applyBorder="1" applyAlignment="1">
      <alignment horizontal="center" vertical="center"/>
    </xf>
    <xf numFmtId="174" fontId="0" fillId="8" borderId="2" xfId="0" applyNumberFormat="1" applyFill="1" applyBorder="1"/>
    <xf numFmtId="0" fontId="13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wrapText="1"/>
    </xf>
    <xf numFmtId="0" fontId="20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168" fontId="21" fillId="0" borderId="2" xfId="0" applyNumberFormat="1" applyFont="1" applyFill="1" applyBorder="1" applyAlignment="1">
      <alignment horizontal="center" vertical="center" wrapText="1"/>
    </xf>
    <xf numFmtId="172" fontId="51" fillId="0" borderId="0" xfId="25" applyNumberFormat="1" applyFont="1" applyFill="1"/>
    <xf numFmtId="0" fontId="21" fillId="0" borderId="0" xfId="25" applyFont="1" applyFill="1" applyAlignment="1">
      <alignment vertical="center"/>
    </xf>
    <xf numFmtId="0" fontId="18" fillId="0" borderId="3" xfId="28" applyFont="1" applyBorder="1" applyAlignment="1">
      <alignment horizontal="center" vertical="center" wrapText="1"/>
    </xf>
    <xf numFmtId="0" fontId="18" fillId="0" borderId="14" xfId="28" applyFont="1" applyBorder="1" applyAlignment="1">
      <alignment horizontal="center" vertical="center" wrapText="1"/>
    </xf>
    <xf numFmtId="0" fontId="18" fillId="0" borderId="4" xfId="28" applyFont="1" applyBorder="1" applyAlignment="1">
      <alignment horizontal="center" vertical="center" wrapText="1"/>
    </xf>
    <xf numFmtId="0" fontId="18" fillId="0" borderId="0" xfId="28" applyFont="1" applyAlignment="1">
      <alignment horizontal="center" vertical="center"/>
    </xf>
    <xf numFmtId="0" fontId="18" fillId="0" borderId="0" xfId="28" applyFont="1" applyAlignment="1">
      <alignment horizontal="center" vertical="center" wrapText="1"/>
    </xf>
    <xf numFmtId="0" fontId="18" fillId="0" borderId="2" xfId="28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center" vertical="center" wrapText="1"/>
    </xf>
    <xf numFmtId="0" fontId="20" fillId="0" borderId="0" xfId="25" applyFont="1" applyAlignment="1">
      <alignment horizontal="center" vertical="center" wrapText="1"/>
    </xf>
    <xf numFmtId="0" fontId="20" fillId="0" borderId="0" xfId="25" quotePrefix="1" applyFont="1" applyAlignment="1">
      <alignment horizontal="left" vertical="center" wrapText="1"/>
    </xf>
    <xf numFmtId="0" fontId="20" fillId="0" borderId="0" xfId="25" applyFont="1" applyFill="1" applyAlignment="1">
      <alignment horizontal="left" vertical="center" wrapText="1"/>
    </xf>
    <xf numFmtId="0" fontId="20" fillId="0" borderId="0" xfId="25" applyFont="1" applyFill="1" applyAlignment="1">
      <alignment horizontal="left" vertical="center"/>
    </xf>
    <xf numFmtId="0" fontId="21" fillId="0" borderId="0" xfId="25" applyFont="1" applyFill="1" applyAlignment="1">
      <alignment horizontal="left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21" fillId="6" borderId="5" xfId="25" applyFont="1" applyFill="1" applyBorder="1" applyAlignment="1">
      <alignment horizontal="center" vertical="center" wrapText="1"/>
    </xf>
    <xf numFmtId="0" fontId="21" fillId="6" borderId="11" xfId="25" applyFont="1" applyFill="1" applyBorder="1" applyAlignment="1">
      <alignment horizontal="center" vertical="center" wrapText="1"/>
    </xf>
    <xf numFmtId="0" fontId="21" fillId="6" borderId="8" xfId="25" applyFont="1" applyFill="1" applyBorder="1" applyAlignment="1">
      <alignment horizontal="center" vertical="center" wrapText="1"/>
    </xf>
    <xf numFmtId="0" fontId="21" fillId="6" borderId="10" xfId="25" applyFont="1" applyFill="1" applyBorder="1" applyAlignment="1">
      <alignment horizontal="center" vertical="center" wrapText="1"/>
    </xf>
    <xf numFmtId="0" fontId="45" fillId="0" borderId="1" xfId="21" applyFont="1" applyBorder="1" applyAlignment="1">
      <alignment horizontal="center"/>
    </xf>
    <xf numFmtId="0" fontId="42" fillId="0" borderId="0" xfId="21" applyFont="1" applyAlignment="1">
      <alignment horizontal="center"/>
    </xf>
    <xf numFmtId="0" fontId="10" fillId="0" borderId="0" xfId="21" applyFont="1" applyAlignment="1">
      <alignment horizontal="left" vertical="center" wrapText="1"/>
    </xf>
    <xf numFmtId="49" fontId="10" fillId="0" borderId="0" xfId="21" applyNumberFormat="1" applyFont="1" applyAlignment="1">
      <alignment horizontal="left" wrapText="1"/>
    </xf>
    <xf numFmtId="0" fontId="17" fillId="0" borderId="5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0" xfId="25" applyFont="1" applyAlignment="1">
      <alignment horizontal="center" vertical="top" wrapText="1"/>
    </xf>
    <xf numFmtId="0" fontId="21" fillId="0" borderId="0" xfId="25" applyFont="1" applyAlignment="1">
      <alignment horizontal="left" wrapText="1"/>
    </xf>
    <xf numFmtId="0" fontId="20" fillId="0" borderId="0" xfId="25" applyFont="1" applyAlignment="1">
      <alignment horizontal="left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21" fillId="6" borderId="3" xfId="25" applyFont="1" applyFill="1" applyBorder="1" applyAlignment="1">
      <alignment horizontal="center" vertical="center" wrapText="1"/>
    </xf>
    <xf numFmtId="0" fontId="21" fillId="6" borderId="4" xfId="25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7" fillId="0" borderId="0" xfId="25" applyFont="1" applyAlignment="1">
      <alignment horizontal="center" vertical="center"/>
    </xf>
    <xf numFmtId="0" fontId="49" fillId="0" borderId="0" xfId="25" applyFont="1" applyBorder="1" applyAlignment="1">
      <alignment horizontal="center" vertical="center" wrapText="1"/>
    </xf>
    <xf numFmtId="0" fontId="50" fillId="6" borderId="2" xfId="25" applyFont="1" applyFill="1" applyBorder="1" applyAlignment="1">
      <alignment horizontal="center" vertical="center" wrapText="1"/>
    </xf>
    <xf numFmtId="0" fontId="45" fillId="0" borderId="0" xfId="1" applyFont="1" applyAlignment="1">
      <alignment horizontal="left" vertical="top" wrapText="1"/>
    </xf>
    <xf numFmtId="0" fontId="10" fillId="0" borderId="0" xfId="1" applyFont="1" applyAlignment="1">
      <alignment horizontal="left" wrapText="1"/>
    </xf>
    <xf numFmtId="0" fontId="49" fillId="0" borderId="1" xfId="25" applyFont="1" applyBorder="1" applyAlignment="1">
      <alignment horizontal="center" vertical="center" wrapText="1"/>
    </xf>
    <xf numFmtId="0" fontId="45" fillId="0" borderId="0" xfId="1" applyFont="1" applyAlignment="1">
      <alignment horizontal="left" wrapText="1"/>
    </xf>
    <xf numFmtId="0" fontId="10" fillId="0" borderId="0" xfId="25" applyFont="1" applyAlignment="1">
      <alignment horizontal="left" wrapText="1"/>
    </xf>
    <xf numFmtId="0" fontId="51" fillId="0" borderId="0" xfId="25" applyFont="1" applyAlignment="1">
      <alignment horizontal="center"/>
    </xf>
    <xf numFmtId="0" fontId="21" fillId="0" borderId="0" xfId="25" applyFont="1" applyAlignment="1">
      <alignment horizontal="left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" fontId="14" fillId="0" borderId="0" xfId="1" applyNumberFormat="1" applyFont="1" applyFill="1" applyAlignment="1">
      <alignment horizontal="center" vertical="center"/>
    </xf>
    <xf numFmtId="0" fontId="12" fillId="0" borderId="3" xfId="1" applyNumberFormat="1" applyFont="1" applyFill="1" applyBorder="1" applyAlignment="1">
      <alignment horizontal="left" vertical="top" wrapText="1"/>
    </xf>
    <xf numFmtId="0" fontId="12" fillId="0" borderId="4" xfId="1" applyNumberFormat="1" applyFont="1" applyFill="1" applyBorder="1" applyAlignment="1">
      <alignment horizontal="left" vertical="top" wrapText="1"/>
    </xf>
    <xf numFmtId="49" fontId="6" fillId="0" borderId="2" xfId="1" applyNumberFormat="1" applyFont="1" applyFill="1" applyBorder="1" applyAlignment="1">
      <alignment horizontal="right" vertical="top" wrapText="1"/>
    </xf>
    <xf numFmtId="0" fontId="10" fillId="0" borderId="2" xfId="1" applyFill="1" applyBorder="1" applyAlignment="1">
      <alignment vertical="top" wrapText="1"/>
    </xf>
    <xf numFmtId="0" fontId="13" fillId="0" borderId="2" xfId="1" applyFont="1" applyFill="1" applyBorder="1" applyAlignment="1">
      <alignment vertical="top" wrapText="1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center" wrapText="1"/>
    </xf>
    <xf numFmtId="4" fontId="14" fillId="0" borderId="0" xfId="1" applyNumberFormat="1" applyFont="1" applyFill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49" fontId="6" fillId="0" borderId="2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20" fillId="0" borderId="0" xfId="25" quotePrefix="1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</cellXfs>
  <cellStyles count="29">
    <cellStyle name="Excel Built-in Normal" xfId="8"/>
    <cellStyle name="S0" xfId="9"/>
    <cellStyle name="S1" xfId="10"/>
    <cellStyle name="S10" xfId="11"/>
    <cellStyle name="S11" xfId="12"/>
    <cellStyle name="S2" xfId="13"/>
    <cellStyle name="S3" xfId="14"/>
    <cellStyle name="S5" xfId="15"/>
    <cellStyle name="S6" xfId="16"/>
    <cellStyle name="S7" xfId="17"/>
    <cellStyle name="S8" xfId="18"/>
    <cellStyle name="S9" xfId="19"/>
    <cellStyle name="Нейтральный" xfId="26" builtinId="28"/>
    <cellStyle name="Обычный" xfId="0" builtinId="0"/>
    <cellStyle name="Обычный 2" xfId="3"/>
    <cellStyle name="Обычный 2 2" xfId="4"/>
    <cellStyle name="Обычный 2 3" xfId="5"/>
    <cellStyle name="Обычный 3" xfId="1"/>
    <cellStyle name="Обычный 3 2" xfId="7"/>
    <cellStyle name="Обычный 3 3" xfId="25"/>
    <cellStyle name="Обычный 4" xfId="20"/>
    <cellStyle name="Обычный 5" xfId="21"/>
    <cellStyle name="Обычный 6" xfId="22"/>
    <cellStyle name="Обычный 7" xfId="27"/>
    <cellStyle name="Обычный 8" xfId="28"/>
    <cellStyle name="Финансовый" xfId="24" builtinId="3"/>
    <cellStyle name="Финансовый 2" xfId="2"/>
    <cellStyle name="Финансовый 2 2" xfId="6"/>
    <cellStyle name="Финансовый 3" xfId="23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165917213519185"/>
          <c:y val="0.20325578612382034"/>
          <c:w val="0.66502632354702973"/>
          <c:h val="0.78547983073456629"/>
        </c:manualLayout>
      </c:layout>
      <c:barChart>
        <c:barDir val="bar"/>
        <c:grouping val="stacked"/>
        <c:varyColors val="0"/>
        <c:ser>
          <c:idx val="1"/>
          <c:order val="0"/>
          <c:tx>
            <c:v>Дата начала</c:v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ГПР!$B$7:$B$22</c:f>
              <c:strCache>
                <c:ptCount val="16"/>
                <c:pt idx="0">
                  <c:v>1. Разработка РД EL3+EL6</c:v>
                </c:pt>
                <c:pt idx="1">
                  <c:v>2. Подготовительные работы</c:v>
                </c:pt>
                <c:pt idx="2">
                  <c:v>2.1. Подготовительные работы EL3</c:v>
                </c:pt>
                <c:pt idx="3">
                  <c:v>2.2. Подготовительные работы EL6</c:v>
                </c:pt>
                <c:pt idx="4">
                  <c:v>3. Строительно-монтажне работы</c:v>
                </c:pt>
                <c:pt idx="5">
                  <c:v>3.1. СМР EL3</c:v>
                </c:pt>
                <c:pt idx="6">
                  <c:v>3.2. СМР EL6</c:v>
                </c:pt>
                <c:pt idx="7">
                  <c:v>4. Пусконаладочные работы</c:v>
                </c:pt>
                <c:pt idx="8">
                  <c:v>4.1. ПНР EL3</c:v>
                </c:pt>
                <c:pt idx="9">
                  <c:v>4.2. ПНР EL6</c:v>
                </c:pt>
                <c:pt idx="10">
                  <c:v>5. Ввод объекта в эксплуатацию</c:v>
                </c:pt>
                <c:pt idx="11">
                  <c:v>5.1. EL3</c:v>
                </c:pt>
                <c:pt idx="12">
                  <c:v>5.2. EL6</c:v>
                </c:pt>
                <c:pt idx="13">
                  <c:v>Подписание акта приемки законченного строительством объекта примемочной комиссией</c:v>
                </c:pt>
                <c:pt idx="14">
                  <c:v>6.1. EL3</c:v>
                </c:pt>
                <c:pt idx="15">
                  <c:v>6.2. EL6</c:v>
                </c:pt>
              </c:strCache>
            </c:strRef>
          </c:cat>
          <c:val>
            <c:numRef>
              <c:f>ГПР!$C$7:$C$22</c:f>
              <c:numCache>
                <c:formatCode>General</c:formatCode>
                <c:ptCount val="16"/>
                <c:pt idx="0" formatCode="m/d/yyyy">
                  <c:v>44119</c:v>
                </c:pt>
                <c:pt idx="2" formatCode="m/d/yyyy">
                  <c:v>44317</c:v>
                </c:pt>
                <c:pt idx="3" formatCode="m/d/yyyy">
                  <c:v>44317</c:v>
                </c:pt>
                <c:pt idx="5" formatCode="m/d/yyyy">
                  <c:v>44367</c:v>
                </c:pt>
                <c:pt idx="6" formatCode="m/d/yyyy">
                  <c:v>44378</c:v>
                </c:pt>
                <c:pt idx="8" formatCode="m/d/yyyy">
                  <c:v>44805</c:v>
                </c:pt>
                <c:pt idx="9" formatCode="m/d/yyyy">
                  <c:v>44805</c:v>
                </c:pt>
                <c:pt idx="11" formatCode="m/d/yyyy">
                  <c:v>44835</c:v>
                </c:pt>
                <c:pt idx="12" formatCode="m/d/yyyy">
                  <c:v>44866</c:v>
                </c:pt>
                <c:pt idx="14" formatCode="m/d/yyyy">
                  <c:v>44849</c:v>
                </c:pt>
                <c:pt idx="15" formatCode="m/d/yyyy">
                  <c:v>44880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60-4D35-8007-52121CE01777}"/>
            </c:ext>
          </c:extLst>
        </c:ser>
        <c:ser>
          <c:idx val="2"/>
          <c:order val="1"/>
          <c:tx>
            <c:v>Длительность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C16F-4FE7-8370-6DE74A05952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1C-4DD4-AF65-7495F3789C2C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16F-4FE7-8370-6DE74A05952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C16F-4FE7-8370-6DE74A059524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C16F-4FE7-8370-6DE74A059524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71C-4DD4-AF65-7495F3789C2C}"/>
              </c:ext>
            </c:extLst>
          </c:dPt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C16F-4FE7-8370-6DE74A059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ГПР!$B$7:$B$22</c:f>
              <c:strCache>
                <c:ptCount val="16"/>
                <c:pt idx="0">
                  <c:v>1. Разработка РД EL3+EL6</c:v>
                </c:pt>
                <c:pt idx="1">
                  <c:v>2. Подготовительные работы</c:v>
                </c:pt>
                <c:pt idx="2">
                  <c:v>2.1. Подготовительные работы EL3</c:v>
                </c:pt>
                <c:pt idx="3">
                  <c:v>2.2. Подготовительные работы EL6</c:v>
                </c:pt>
                <c:pt idx="4">
                  <c:v>3. Строительно-монтажне работы</c:v>
                </c:pt>
                <c:pt idx="5">
                  <c:v>3.1. СМР EL3</c:v>
                </c:pt>
                <c:pt idx="6">
                  <c:v>3.2. СМР EL6</c:v>
                </c:pt>
                <c:pt idx="7">
                  <c:v>4. Пусконаладочные работы</c:v>
                </c:pt>
                <c:pt idx="8">
                  <c:v>4.1. ПНР EL3</c:v>
                </c:pt>
                <c:pt idx="9">
                  <c:v>4.2. ПНР EL6</c:v>
                </c:pt>
                <c:pt idx="10">
                  <c:v>5. Ввод объекта в эксплуатацию</c:v>
                </c:pt>
                <c:pt idx="11">
                  <c:v>5.1. EL3</c:v>
                </c:pt>
                <c:pt idx="12">
                  <c:v>5.2. EL6</c:v>
                </c:pt>
                <c:pt idx="13">
                  <c:v>Подписание акта приемки законченного строительством объекта примемочной комиссией</c:v>
                </c:pt>
                <c:pt idx="14">
                  <c:v>6.1. EL3</c:v>
                </c:pt>
                <c:pt idx="15">
                  <c:v>6.2. EL6</c:v>
                </c:pt>
              </c:strCache>
            </c:strRef>
          </c:cat>
          <c:val>
            <c:numRef>
              <c:f>ГПР!$E$7:$E$22</c:f>
              <c:numCache>
                <c:formatCode>General</c:formatCode>
                <c:ptCount val="16"/>
                <c:pt idx="0">
                  <c:v>198</c:v>
                </c:pt>
                <c:pt idx="2">
                  <c:v>50</c:v>
                </c:pt>
                <c:pt idx="3">
                  <c:v>61</c:v>
                </c:pt>
                <c:pt idx="5">
                  <c:v>438</c:v>
                </c:pt>
                <c:pt idx="6">
                  <c:v>457</c:v>
                </c:pt>
                <c:pt idx="8">
                  <c:v>30</c:v>
                </c:pt>
                <c:pt idx="9">
                  <c:v>61</c:v>
                </c:pt>
                <c:pt idx="11">
                  <c:v>14</c:v>
                </c:pt>
                <c:pt idx="12">
                  <c:v>14</c:v>
                </c:pt>
                <c:pt idx="14">
                  <c:v>77</c:v>
                </c:pt>
                <c:pt idx="1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60-4D35-8007-52121CE017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1"/>
        <c:overlap val="100"/>
        <c:axId val="153902592"/>
        <c:axId val="164947648"/>
      </c:barChart>
      <c:catAx>
        <c:axId val="1539025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947648"/>
        <c:crosses val="autoZero"/>
        <c:auto val="1"/>
        <c:lblAlgn val="ctr"/>
        <c:lblOffset val="100"/>
        <c:noMultiLvlLbl val="0"/>
      </c:catAx>
      <c:valAx>
        <c:axId val="164947648"/>
        <c:scaling>
          <c:orientation val="minMax"/>
          <c:max val="45000"/>
          <c:min val="440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9]mmmm\ yy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902592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10582</xdr:rowOff>
    </xdr:from>
    <xdr:to>
      <xdr:col>20</xdr:col>
      <xdr:colOff>428626</xdr:colOff>
      <xdr:row>22</xdr:row>
      <xdr:rowOff>123264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14</xdr:row>
      <xdr:rowOff>157162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314825" y="51958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1,036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314825" y="51958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12&amp;1,036)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15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333875" y="541496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333875" y="541496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16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333875" y="56149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333875" y="56149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70" zoomScaleNormal="70" workbookViewId="0">
      <selection activeCell="F18" sqref="F18"/>
    </sheetView>
  </sheetViews>
  <sheetFormatPr defaultRowHeight="15" x14ac:dyDescent="0.25"/>
  <cols>
    <col min="1" max="1" width="12.5703125" style="561" customWidth="1"/>
    <col min="2" max="2" width="53" style="553" customWidth="1"/>
    <col min="3" max="5" width="17.7109375" style="553" customWidth="1"/>
    <col min="6" max="16384" width="9.140625" style="553"/>
  </cols>
  <sheetData>
    <row r="1" spans="1:5" ht="15.75" x14ac:dyDescent="0.25">
      <c r="A1" s="586" t="s">
        <v>1448</v>
      </c>
      <c r="B1" s="586"/>
      <c r="C1" s="586"/>
      <c r="D1" s="586"/>
      <c r="E1" s="586"/>
    </row>
    <row r="2" spans="1:5" ht="34.5" customHeight="1" x14ac:dyDescent="0.25">
      <c r="A2" s="587" t="s">
        <v>1449</v>
      </c>
      <c r="B2" s="587"/>
      <c r="C2" s="587"/>
      <c r="D2" s="587"/>
      <c r="E2" s="587"/>
    </row>
    <row r="3" spans="1:5" ht="15.75" x14ac:dyDescent="0.25">
      <c r="A3" s="554"/>
    </row>
    <row r="4" spans="1:5" ht="55.5" customHeight="1" x14ac:dyDescent="0.25">
      <c r="A4" s="588" t="s">
        <v>1</v>
      </c>
      <c r="B4" s="588" t="s">
        <v>1376</v>
      </c>
      <c r="C4" s="588" t="s">
        <v>1450</v>
      </c>
      <c r="D4" s="588"/>
      <c r="E4" s="588"/>
    </row>
    <row r="5" spans="1:5" ht="66.75" customHeight="1" x14ac:dyDescent="0.25">
      <c r="A5" s="588"/>
      <c r="B5" s="588"/>
      <c r="C5" s="555" t="s">
        <v>1451</v>
      </c>
      <c r="D5" s="555" t="s">
        <v>1452</v>
      </c>
      <c r="E5" s="555" t="s">
        <v>1453</v>
      </c>
    </row>
    <row r="6" spans="1:5" ht="15.75" x14ac:dyDescent="0.25">
      <c r="A6" s="556">
        <v>1</v>
      </c>
      <c r="B6" s="556">
        <v>2</v>
      </c>
      <c r="C6" s="556">
        <v>3</v>
      </c>
      <c r="D6" s="556">
        <v>4</v>
      </c>
      <c r="E6" s="556">
        <v>5</v>
      </c>
    </row>
    <row r="7" spans="1:5" ht="37.5" customHeight="1" x14ac:dyDescent="0.25">
      <c r="A7" s="557" t="s">
        <v>1454</v>
      </c>
      <c r="B7" s="558" t="s">
        <v>1455</v>
      </c>
      <c r="C7" s="559">
        <v>44119</v>
      </c>
      <c r="D7" s="559">
        <v>44317</v>
      </c>
      <c r="E7" s="556">
        <f>D7-C7</f>
        <v>198</v>
      </c>
    </row>
    <row r="8" spans="1:5" ht="37.5" customHeight="1" x14ac:dyDescent="0.25">
      <c r="A8" s="557" t="s">
        <v>1456</v>
      </c>
      <c r="B8" s="583" t="s">
        <v>1405</v>
      </c>
      <c r="C8" s="584"/>
      <c r="D8" s="584"/>
      <c r="E8" s="585"/>
    </row>
    <row r="9" spans="1:5" ht="37.5" customHeight="1" x14ac:dyDescent="0.25">
      <c r="A9" s="560" t="s">
        <v>1457</v>
      </c>
      <c r="B9" s="560" t="s">
        <v>1458</v>
      </c>
      <c r="C9" s="559">
        <v>44317</v>
      </c>
      <c r="D9" s="559">
        <v>44367</v>
      </c>
      <c r="E9" s="556">
        <f>D9-C9</f>
        <v>50</v>
      </c>
    </row>
    <row r="10" spans="1:5" ht="37.5" customHeight="1" x14ac:dyDescent="0.25">
      <c r="A10" s="560" t="s">
        <v>1459</v>
      </c>
      <c r="B10" s="560" t="s">
        <v>1460</v>
      </c>
      <c r="C10" s="559">
        <v>44317</v>
      </c>
      <c r="D10" s="559">
        <v>44378</v>
      </c>
      <c r="E10" s="556">
        <f>D10-C10</f>
        <v>61</v>
      </c>
    </row>
    <row r="11" spans="1:5" ht="37.5" customHeight="1" x14ac:dyDescent="0.25">
      <c r="A11" s="557" t="s">
        <v>1461</v>
      </c>
      <c r="B11" s="583" t="s">
        <v>1462</v>
      </c>
      <c r="C11" s="584"/>
      <c r="D11" s="584"/>
      <c r="E11" s="585"/>
    </row>
    <row r="12" spans="1:5" ht="37.5" customHeight="1" x14ac:dyDescent="0.25">
      <c r="A12" s="560" t="s">
        <v>1463</v>
      </c>
      <c r="B12" s="560" t="s">
        <v>1464</v>
      </c>
      <c r="C12" s="559">
        <v>44367</v>
      </c>
      <c r="D12" s="559">
        <v>44805</v>
      </c>
      <c r="E12" s="556">
        <f>D12-C12</f>
        <v>438</v>
      </c>
    </row>
    <row r="13" spans="1:5" ht="37.5" customHeight="1" x14ac:dyDescent="0.25">
      <c r="A13" s="560" t="s">
        <v>1465</v>
      </c>
      <c r="B13" s="560" t="s">
        <v>1466</v>
      </c>
      <c r="C13" s="559">
        <v>44378</v>
      </c>
      <c r="D13" s="559">
        <v>44835</v>
      </c>
      <c r="E13" s="556">
        <f>D13-C13</f>
        <v>457</v>
      </c>
    </row>
    <row r="14" spans="1:5" ht="37.5" customHeight="1" x14ac:dyDescent="0.25">
      <c r="A14" s="557" t="s">
        <v>1467</v>
      </c>
      <c r="B14" s="583" t="s">
        <v>1468</v>
      </c>
      <c r="C14" s="584"/>
      <c r="D14" s="584"/>
      <c r="E14" s="585"/>
    </row>
    <row r="15" spans="1:5" ht="37.5" customHeight="1" x14ac:dyDescent="0.25">
      <c r="A15" s="560" t="s">
        <v>1469</v>
      </c>
      <c r="B15" s="560" t="s">
        <v>1470</v>
      </c>
      <c r="C15" s="559">
        <v>44805</v>
      </c>
      <c r="D15" s="559">
        <v>44835</v>
      </c>
      <c r="E15" s="556">
        <f t="shared" ref="E15:E22" si="0">D15-C15</f>
        <v>30</v>
      </c>
    </row>
    <row r="16" spans="1:5" ht="37.5" customHeight="1" x14ac:dyDescent="0.25">
      <c r="A16" s="560" t="s">
        <v>1471</v>
      </c>
      <c r="B16" s="560" t="s">
        <v>1472</v>
      </c>
      <c r="C16" s="559">
        <v>44805</v>
      </c>
      <c r="D16" s="559">
        <v>44866</v>
      </c>
      <c r="E16" s="556">
        <f t="shared" si="0"/>
        <v>61</v>
      </c>
    </row>
    <row r="17" spans="1:5" ht="37.5" customHeight="1" x14ac:dyDescent="0.25">
      <c r="A17" s="557" t="s">
        <v>1473</v>
      </c>
      <c r="B17" s="583" t="s">
        <v>1474</v>
      </c>
      <c r="C17" s="584"/>
      <c r="D17" s="584"/>
      <c r="E17" s="585"/>
    </row>
    <row r="18" spans="1:5" ht="37.5" customHeight="1" x14ac:dyDescent="0.25">
      <c r="A18" s="560" t="s">
        <v>1475</v>
      </c>
      <c r="B18" s="560" t="s">
        <v>1476</v>
      </c>
      <c r="C18" s="559">
        <v>44835</v>
      </c>
      <c r="D18" s="559">
        <v>44849</v>
      </c>
      <c r="E18" s="556">
        <f t="shared" si="0"/>
        <v>14</v>
      </c>
    </row>
    <row r="19" spans="1:5" ht="37.5" customHeight="1" x14ac:dyDescent="0.25">
      <c r="A19" s="560" t="s">
        <v>1477</v>
      </c>
      <c r="B19" s="560" t="s">
        <v>1478</v>
      </c>
      <c r="C19" s="559">
        <v>44866</v>
      </c>
      <c r="D19" s="559">
        <v>44880</v>
      </c>
      <c r="E19" s="556">
        <f t="shared" si="0"/>
        <v>14</v>
      </c>
    </row>
    <row r="20" spans="1:5" ht="37.5" customHeight="1" x14ac:dyDescent="0.25">
      <c r="A20" s="557" t="s">
        <v>1479</v>
      </c>
      <c r="B20" s="583" t="s">
        <v>1480</v>
      </c>
      <c r="C20" s="584"/>
      <c r="D20" s="584"/>
      <c r="E20" s="585"/>
    </row>
    <row r="21" spans="1:5" ht="37.5" customHeight="1" x14ac:dyDescent="0.25">
      <c r="A21" s="560" t="s">
        <v>1481</v>
      </c>
      <c r="B21" s="560" t="s">
        <v>1482</v>
      </c>
      <c r="C21" s="559">
        <v>44849</v>
      </c>
      <c r="D21" s="559">
        <v>44926</v>
      </c>
      <c r="E21" s="556">
        <f t="shared" si="0"/>
        <v>77</v>
      </c>
    </row>
    <row r="22" spans="1:5" ht="37.5" customHeight="1" x14ac:dyDescent="0.25">
      <c r="A22" s="560" t="s">
        <v>1483</v>
      </c>
      <c r="B22" s="560" t="s">
        <v>1484</v>
      </c>
      <c r="C22" s="559">
        <v>44880</v>
      </c>
      <c r="D22" s="559">
        <v>44972</v>
      </c>
      <c r="E22" s="556">
        <f t="shared" si="0"/>
        <v>92</v>
      </c>
    </row>
  </sheetData>
  <mergeCells count="10">
    <mergeCell ref="B11:E11"/>
    <mergeCell ref="B14:E14"/>
    <mergeCell ref="B17:E17"/>
    <mergeCell ref="B20:E20"/>
    <mergeCell ref="A1:E1"/>
    <mergeCell ref="A2:E2"/>
    <mergeCell ref="A4:A5"/>
    <mergeCell ref="B4:B5"/>
    <mergeCell ref="C4:E4"/>
    <mergeCell ref="B8:E8"/>
  </mergeCells>
  <printOptions horizontalCentered="1"/>
  <pageMargins left="0" right="0" top="1.5748031496062993" bottom="1.5748031496062993" header="0" footer="0"/>
  <pageSetup paperSize="8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153"/>
  <sheetViews>
    <sheetView showGridLines="0" view="pageBreakPreview" topLeftCell="C118" zoomScaleNormal="85" zoomScaleSheetLayoutView="100" workbookViewId="0">
      <selection activeCell="L106" sqref="L106"/>
    </sheetView>
  </sheetViews>
  <sheetFormatPr defaultColWidth="9.140625" defaultRowHeight="12.75" outlineLevelRow="1" outlineLevelCol="1" x14ac:dyDescent="0.2"/>
  <cols>
    <col min="1" max="1" width="5" style="1" customWidth="1"/>
    <col min="2" max="2" width="24" style="77" customWidth="1"/>
    <col min="3" max="3" width="54.85546875" style="77" customWidth="1"/>
    <col min="4" max="8" width="19.7109375" style="7" customWidth="1" outlineLevel="1"/>
    <col min="9" max="13" width="15.7109375" style="92" customWidth="1"/>
    <col min="14" max="16384" width="9.140625" style="92"/>
  </cols>
  <sheetData>
    <row r="1" spans="1:8" x14ac:dyDescent="0.2">
      <c r="D1" s="3"/>
      <c r="E1" s="3"/>
      <c r="F1" s="3"/>
      <c r="G1" s="3"/>
      <c r="H1" s="4" t="s">
        <v>5</v>
      </c>
    </row>
    <row r="2" spans="1:8" x14ac:dyDescent="0.2">
      <c r="A2" s="16"/>
      <c r="B2" s="17" t="s">
        <v>7</v>
      </c>
      <c r="C2" s="18" t="s">
        <v>73</v>
      </c>
      <c r="D2" s="19"/>
      <c r="E2" s="19"/>
      <c r="F2" s="19"/>
      <c r="G2" s="19"/>
      <c r="H2" s="20"/>
    </row>
    <row r="3" spans="1:8" x14ac:dyDescent="0.2">
      <c r="C3" s="12"/>
      <c r="D3" s="13" t="s">
        <v>8</v>
      </c>
      <c r="E3" s="14"/>
      <c r="F3" s="15"/>
      <c r="G3" s="15"/>
      <c r="H3" s="3"/>
    </row>
    <row r="4" spans="1:8" x14ac:dyDescent="0.2">
      <c r="B4" s="77" t="s">
        <v>13</v>
      </c>
      <c r="C4" s="11"/>
      <c r="D4" s="3"/>
      <c r="E4" s="6"/>
      <c r="F4" s="3"/>
      <c r="G4" s="3"/>
      <c r="H4" s="3"/>
    </row>
    <row r="5" spans="1:8" x14ac:dyDescent="0.2">
      <c r="D5" s="3"/>
      <c r="E5" s="6"/>
      <c r="F5" s="3"/>
      <c r="G5" s="3"/>
      <c r="H5" s="3"/>
    </row>
    <row r="6" spans="1:8" x14ac:dyDescent="0.2">
      <c r="B6" s="77" t="s">
        <v>116</v>
      </c>
      <c r="D6" s="3"/>
      <c r="E6" s="6"/>
      <c r="F6" s="3"/>
      <c r="G6" s="3"/>
      <c r="H6" s="3"/>
    </row>
    <row r="7" spans="1:8" x14ac:dyDescent="0.2">
      <c r="D7" s="3"/>
      <c r="E7" s="3"/>
      <c r="F7" s="3"/>
      <c r="G7" s="3"/>
      <c r="H7" s="3"/>
    </row>
    <row r="8" spans="1:8" s="63" customFormat="1" x14ac:dyDescent="0.2">
      <c r="A8" s="59"/>
      <c r="B8" s="77" t="s">
        <v>127</v>
      </c>
      <c r="C8" s="60"/>
      <c r="D8" s="64"/>
      <c r="E8" s="61"/>
      <c r="F8" s="62"/>
      <c r="G8" s="62"/>
      <c r="H8" s="62"/>
    </row>
    <row r="9" spans="1:8" x14ac:dyDescent="0.2">
      <c r="D9" s="3"/>
      <c r="E9" s="3"/>
      <c r="F9" s="3"/>
      <c r="G9" s="3"/>
      <c r="H9" s="3"/>
    </row>
    <row r="10" spans="1:8" x14ac:dyDescent="0.2">
      <c r="C10" s="672"/>
      <c r="D10" s="673"/>
      <c r="E10" s="673"/>
      <c r="F10" s="673"/>
      <c r="G10" s="673"/>
      <c r="H10" s="3"/>
    </row>
    <row r="11" spans="1:8" x14ac:dyDescent="0.2">
      <c r="D11" s="6" t="s">
        <v>9</v>
      </c>
      <c r="F11" s="3"/>
      <c r="G11" s="3"/>
      <c r="H11" s="3"/>
    </row>
    <row r="12" spans="1:8" x14ac:dyDescent="0.2">
      <c r="D12" s="3"/>
      <c r="E12" s="6"/>
      <c r="F12" s="3"/>
      <c r="G12" s="3"/>
      <c r="H12" s="3"/>
    </row>
    <row r="13" spans="1:8" x14ac:dyDescent="0.2">
      <c r="B13" s="77" t="s">
        <v>14</v>
      </c>
      <c r="H13" s="3"/>
    </row>
    <row r="14" spans="1:8" x14ac:dyDescent="0.2">
      <c r="G14" s="3"/>
      <c r="H14" s="3"/>
    </row>
    <row r="15" spans="1:8" x14ac:dyDescent="0.2">
      <c r="D15" s="8" t="s">
        <v>6</v>
      </c>
      <c r="F15" s="3"/>
      <c r="G15" s="3"/>
      <c r="H15" s="3"/>
    </row>
    <row r="16" spans="1:8" x14ac:dyDescent="0.2">
      <c r="D16" s="9"/>
      <c r="F16" s="3"/>
      <c r="G16" s="3"/>
      <c r="H16" s="3"/>
    </row>
    <row r="17" spans="1:13" ht="27.95" customHeight="1" x14ac:dyDescent="0.2">
      <c r="C17" s="674" t="s">
        <v>74</v>
      </c>
      <c r="D17" s="675"/>
      <c r="E17" s="675"/>
      <c r="F17" s="675"/>
      <c r="G17" s="675"/>
      <c r="H17" s="3"/>
    </row>
    <row r="18" spans="1:13" x14ac:dyDescent="0.2">
      <c r="D18" s="10" t="s">
        <v>0</v>
      </c>
      <c r="F18" s="3"/>
      <c r="G18" s="3"/>
      <c r="H18" s="3"/>
    </row>
    <row r="19" spans="1:13" x14ac:dyDescent="0.2">
      <c r="H19" s="3"/>
    </row>
    <row r="20" spans="1:13" x14ac:dyDescent="0.2">
      <c r="A20" s="23" t="s">
        <v>96</v>
      </c>
      <c r="B20" s="26"/>
      <c r="C20" s="26"/>
      <c r="D20" s="24"/>
      <c r="E20" s="22"/>
      <c r="F20" s="22"/>
      <c r="G20" s="22"/>
      <c r="H20" s="22"/>
    </row>
    <row r="21" spans="1:13" x14ac:dyDescent="0.2">
      <c r="D21" s="3"/>
      <c r="E21" s="3"/>
      <c r="F21" s="3"/>
      <c r="G21" s="3"/>
      <c r="H21" s="3"/>
    </row>
    <row r="22" spans="1:13" ht="30" customHeight="1" x14ac:dyDescent="0.2">
      <c r="A22" s="676" t="s">
        <v>1</v>
      </c>
      <c r="B22" s="677" t="s">
        <v>10</v>
      </c>
      <c r="C22" s="677" t="s">
        <v>11</v>
      </c>
      <c r="D22" s="678" t="s">
        <v>15</v>
      </c>
      <c r="E22" s="678"/>
      <c r="F22" s="678"/>
      <c r="G22" s="678"/>
      <c r="H22" s="676" t="s">
        <v>16</v>
      </c>
      <c r="I22" s="640" t="s">
        <v>136</v>
      </c>
      <c r="J22" s="641"/>
      <c r="K22" s="642"/>
      <c r="L22" s="642"/>
      <c r="M22" s="643"/>
    </row>
    <row r="23" spans="1:13" ht="30" customHeight="1" x14ac:dyDescent="0.2">
      <c r="A23" s="676"/>
      <c r="B23" s="677"/>
      <c r="C23" s="677"/>
      <c r="D23" s="676" t="s">
        <v>12</v>
      </c>
      <c r="E23" s="676" t="s">
        <v>2</v>
      </c>
      <c r="F23" s="676" t="s">
        <v>3</v>
      </c>
      <c r="G23" s="676" t="s">
        <v>4</v>
      </c>
      <c r="H23" s="676"/>
      <c r="I23" s="644"/>
      <c r="J23" s="645"/>
      <c r="K23" s="645"/>
      <c r="L23" s="645"/>
      <c r="M23" s="646"/>
    </row>
    <row r="24" spans="1:13" x14ac:dyDescent="0.2">
      <c r="A24" s="676"/>
      <c r="B24" s="677"/>
      <c r="C24" s="677"/>
      <c r="D24" s="676"/>
      <c r="E24" s="676"/>
      <c r="F24" s="676"/>
      <c r="G24" s="676"/>
      <c r="H24" s="676"/>
      <c r="I24" s="647" t="s">
        <v>12</v>
      </c>
      <c r="J24" s="647" t="s">
        <v>2</v>
      </c>
      <c r="K24" s="650" t="s">
        <v>133</v>
      </c>
      <c r="L24" s="650" t="s">
        <v>134</v>
      </c>
      <c r="M24" s="650" t="s">
        <v>135</v>
      </c>
    </row>
    <row r="25" spans="1:13" x14ac:dyDescent="0.2">
      <c r="A25" s="676"/>
      <c r="B25" s="677"/>
      <c r="C25" s="677"/>
      <c r="D25" s="676"/>
      <c r="E25" s="676"/>
      <c r="F25" s="676"/>
      <c r="G25" s="676"/>
      <c r="H25" s="676"/>
      <c r="I25" s="648"/>
      <c r="J25" s="649"/>
      <c r="K25" s="651"/>
      <c r="L25" s="651"/>
      <c r="M25" s="651"/>
    </row>
    <row r="26" spans="1:13" x14ac:dyDescent="0.2">
      <c r="A26" s="65">
        <v>1</v>
      </c>
      <c r="B26" s="66">
        <v>2</v>
      </c>
      <c r="C26" s="66">
        <v>3</v>
      </c>
      <c r="D26" s="65">
        <v>4</v>
      </c>
      <c r="E26" s="65">
        <v>5</v>
      </c>
      <c r="F26" s="65">
        <v>6</v>
      </c>
      <c r="G26" s="65">
        <v>7</v>
      </c>
      <c r="H26" s="65">
        <v>8</v>
      </c>
      <c r="I26" s="120"/>
      <c r="J26" s="120"/>
      <c r="K26" s="121"/>
      <c r="L26" s="121"/>
      <c r="M26" s="121"/>
    </row>
    <row r="27" spans="1:13" ht="12.75" customHeight="1" x14ac:dyDescent="0.2">
      <c r="A27" s="663" t="s">
        <v>17</v>
      </c>
      <c r="B27" s="664"/>
      <c r="C27" s="664"/>
      <c r="D27" s="664"/>
      <c r="E27" s="664"/>
      <c r="F27" s="664"/>
      <c r="G27" s="664"/>
      <c r="H27" s="664"/>
      <c r="I27" s="122"/>
      <c r="J27" s="122"/>
      <c r="K27" s="122"/>
      <c r="L27" s="122"/>
      <c r="M27" s="122"/>
    </row>
    <row r="28" spans="1:13" ht="15" x14ac:dyDescent="0.2">
      <c r="A28" s="102">
        <v>1</v>
      </c>
      <c r="B28" s="100" t="s">
        <v>18</v>
      </c>
      <c r="C28" s="100" t="s">
        <v>19</v>
      </c>
      <c r="D28" s="103"/>
      <c r="E28" s="103"/>
      <c r="F28" s="103"/>
      <c r="G28" s="216">
        <f>0.04*0</f>
        <v>0</v>
      </c>
      <c r="H28" s="101">
        <f>SUM(D28:G28)</f>
        <v>0</v>
      </c>
      <c r="I28" s="301"/>
      <c r="J28" s="301"/>
      <c r="K28" s="301"/>
      <c r="L28" s="301">
        <f>G28*10.79*1000</f>
        <v>0</v>
      </c>
      <c r="M28" s="301">
        <f>SUM(I28:L28)</f>
        <v>0</v>
      </c>
    </row>
    <row r="29" spans="1:13" ht="25.5" x14ac:dyDescent="0.2">
      <c r="A29" s="102">
        <v>2</v>
      </c>
      <c r="B29" s="100" t="s">
        <v>101</v>
      </c>
      <c r="C29" s="100" t="s">
        <v>112</v>
      </c>
      <c r="D29" s="103"/>
      <c r="E29" s="103"/>
      <c r="F29" s="103"/>
      <c r="G29" s="216">
        <f>25.81*0</f>
        <v>0</v>
      </c>
      <c r="H29" s="101">
        <f>SUM(D29:G29)</f>
        <v>0</v>
      </c>
      <c r="I29" s="301"/>
      <c r="J29" s="301"/>
      <c r="K29" s="301"/>
      <c r="L29" s="301">
        <f>G29*1.266*4.35*1000</f>
        <v>0</v>
      </c>
      <c r="M29" s="301">
        <f t="shared" ref="M29:M126" si="0">SUM(I29:L29)</f>
        <v>0</v>
      </c>
    </row>
    <row r="30" spans="1:13" x14ac:dyDescent="0.2">
      <c r="A30" s="102">
        <v>3</v>
      </c>
      <c r="B30" s="100" t="s">
        <v>20</v>
      </c>
      <c r="C30" s="100" t="s">
        <v>21</v>
      </c>
      <c r="D30" s="101">
        <v>4.87</v>
      </c>
      <c r="E30" s="103"/>
      <c r="F30" s="103"/>
      <c r="G30" s="103"/>
      <c r="H30" s="101">
        <f>SUM(D30:G30)</f>
        <v>4.87</v>
      </c>
      <c r="I30" s="301">
        <f>D30*(1.023*1.005-2.3%*15%)*6.99*1000</f>
        <v>34881</v>
      </c>
      <c r="J30" s="301"/>
      <c r="K30" s="301"/>
      <c r="L30" s="301"/>
      <c r="M30" s="301">
        <f t="shared" si="0"/>
        <v>34881</v>
      </c>
    </row>
    <row r="31" spans="1:13" ht="13.5" customHeight="1" x14ac:dyDescent="0.2">
      <c r="A31" s="104"/>
      <c r="B31" s="667" t="s">
        <v>22</v>
      </c>
      <c r="C31" s="668"/>
      <c r="D31" s="101">
        <f>D28+D29+D30</f>
        <v>4.87</v>
      </c>
      <c r="E31" s="103"/>
      <c r="F31" s="103"/>
      <c r="G31" s="101">
        <f>G28+G29+G30</f>
        <v>0</v>
      </c>
      <c r="H31" s="101">
        <f>SUM(D31:G31)</f>
        <v>4.87</v>
      </c>
      <c r="I31" s="302">
        <f>I28+I29+I30</f>
        <v>34881</v>
      </c>
      <c r="J31" s="303"/>
      <c r="K31" s="303"/>
      <c r="L31" s="302">
        <f>L28+L29+L30</f>
        <v>0</v>
      </c>
      <c r="M31" s="301">
        <f t="shared" si="0"/>
        <v>34881</v>
      </c>
    </row>
    <row r="32" spans="1:13" ht="12.75" customHeight="1" x14ac:dyDescent="0.2">
      <c r="A32" s="669" t="s">
        <v>23</v>
      </c>
      <c r="B32" s="670"/>
      <c r="C32" s="670"/>
      <c r="D32" s="670"/>
      <c r="E32" s="670"/>
      <c r="F32" s="670"/>
      <c r="G32" s="670"/>
      <c r="H32" s="670"/>
      <c r="I32" s="301"/>
      <c r="J32" s="301"/>
      <c r="K32" s="301"/>
      <c r="L32" s="301"/>
      <c r="M32" s="301">
        <f t="shared" si="0"/>
        <v>0</v>
      </c>
    </row>
    <row r="33" spans="1:13" x14ac:dyDescent="0.2">
      <c r="A33" s="102">
        <v>4</v>
      </c>
      <c r="B33" s="100" t="s">
        <v>24</v>
      </c>
      <c r="C33" s="100" t="s">
        <v>25</v>
      </c>
      <c r="D33" s="119">
        <f>D34+D35+D36+D37</f>
        <v>2222.75</v>
      </c>
      <c r="E33" s="119">
        <f>E34+E35+E36+E37</f>
        <v>504.39</v>
      </c>
      <c r="F33" s="119">
        <f>F34+F35+F36+F37</f>
        <v>153.9</v>
      </c>
      <c r="G33" s="141"/>
      <c r="H33" s="119">
        <f>SUM(D33:G33)</f>
        <v>2881.04</v>
      </c>
      <c r="I33" s="302">
        <f>I34+I35+I36+I37</f>
        <v>15920243</v>
      </c>
      <c r="J33" s="302">
        <f>J34+J35+J36+J37</f>
        <v>3612648</v>
      </c>
      <c r="K33" s="302">
        <f>K34+K35+K36+K37</f>
        <v>629451</v>
      </c>
      <c r="L33" s="303"/>
      <c r="M33" s="302">
        <f>SUM(I33:L33)</f>
        <v>20162342</v>
      </c>
    </row>
    <row r="34" spans="1:13" ht="25.5" outlineLevel="1" x14ac:dyDescent="0.2">
      <c r="A34" s="143" t="s">
        <v>145</v>
      </c>
      <c r="B34" s="132" t="s">
        <v>137</v>
      </c>
      <c r="C34" s="132" t="s">
        <v>138</v>
      </c>
      <c r="D34" s="144">
        <v>277.95999999999998</v>
      </c>
      <c r="E34" s="144">
        <v>371.55</v>
      </c>
      <c r="F34" s="217">
        <f>(248400*0+17600*0)/1.2/4.09+'Расчет стоимости шеф-монтажа'!D6/4.09/1000*0</f>
        <v>0</v>
      </c>
      <c r="G34" s="134"/>
      <c r="H34" s="140">
        <f>SUM(D34:G34)</f>
        <v>649.51</v>
      </c>
      <c r="I34" s="304">
        <f>D34*(1.023*1.005-2.3%*15%)*6.99*1000</f>
        <v>1990863</v>
      </c>
      <c r="J34" s="304">
        <f>E34*(1.023*1.005-2.3%*15%)*6.99*1000</f>
        <v>2661193</v>
      </c>
      <c r="K34" s="304">
        <f>'Расчет стоимости шеф-монтажа'!D6*0</f>
        <v>0</v>
      </c>
      <c r="L34" s="304"/>
      <c r="M34" s="527">
        <f>SUM(I34:L34)</f>
        <v>4652056</v>
      </c>
    </row>
    <row r="35" spans="1:13" ht="25.5" outlineLevel="1" x14ac:dyDescent="0.2">
      <c r="A35" s="143" t="s">
        <v>146</v>
      </c>
      <c r="B35" s="132" t="s">
        <v>139</v>
      </c>
      <c r="C35" s="132" t="s">
        <v>140</v>
      </c>
      <c r="D35" s="144">
        <v>1918.94</v>
      </c>
      <c r="E35" s="134"/>
      <c r="F35" s="134"/>
      <c r="G35" s="134"/>
      <c r="H35" s="140">
        <f>SUM(D35:G35)</f>
        <v>1918.94</v>
      </c>
      <c r="I35" s="304">
        <f>D35*(1.023*1.005-2.3%*15%)*6.99*1000</f>
        <v>13744232</v>
      </c>
      <c r="J35" s="304"/>
      <c r="K35" s="304"/>
      <c r="L35" s="304"/>
      <c r="M35" s="527">
        <f>SUM(I35:L35)</f>
        <v>13744232</v>
      </c>
    </row>
    <row r="36" spans="1:13" outlineLevel="1" x14ac:dyDescent="0.2">
      <c r="A36" s="143" t="s">
        <v>147</v>
      </c>
      <c r="B36" s="132" t="s">
        <v>141</v>
      </c>
      <c r="C36" s="132" t="s">
        <v>142</v>
      </c>
      <c r="D36" s="144">
        <v>25.85</v>
      </c>
      <c r="E36" s="144">
        <v>63.27</v>
      </c>
      <c r="F36" s="134"/>
      <c r="G36" s="134"/>
      <c r="H36" s="140">
        <f>SUM(D36:G36)</f>
        <v>89.12</v>
      </c>
      <c r="I36" s="301">
        <f>D36*(1.023*1.005-2.3%*15%)*6.99*1000</f>
        <v>185148</v>
      </c>
      <c r="J36" s="301">
        <f>E36*(1.023*1.005-2.3%*15%)*6.99*1000</f>
        <v>453166</v>
      </c>
      <c r="K36" s="304"/>
      <c r="L36" s="304"/>
      <c r="M36" s="527">
        <f>SUM(I36:L36)</f>
        <v>638314</v>
      </c>
    </row>
    <row r="37" spans="1:13" ht="25.5" outlineLevel="1" x14ac:dyDescent="0.2">
      <c r="A37" s="143" t="s">
        <v>148</v>
      </c>
      <c r="B37" s="132" t="s">
        <v>143</v>
      </c>
      <c r="C37" s="132" t="s">
        <v>144</v>
      </c>
      <c r="D37" s="134"/>
      <c r="E37" s="144">
        <v>69.569999999999993</v>
      </c>
      <c r="F37" s="144">
        <v>153.9</v>
      </c>
      <c r="G37" s="134"/>
      <c r="H37" s="140">
        <f>SUM(D37:G37)</f>
        <v>223.47</v>
      </c>
      <c r="I37" s="301"/>
      <c r="J37" s="301">
        <f>E37*(1.023*1.005-2.3%*15%)*6.99*1000</f>
        <v>498289</v>
      </c>
      <c r="K37" s="304">
        <f>F37*4.09*1000</f>
        <v>629451</v>
      </c>
      <c r="L37" s="304"/>
      <c r="M37" s="527">
        <f>SUM(I37:L37)</f>
        <v>1127740</v>
      </c>
    </row>
    <row r="38" spans="1:13" ht="25.5" x14ac:dyDescent="0.2">
      <c r="A38" s="129">
        <v>5</v>
      </c>
      <c r="B38" s="100" t="s">
        <v>26</v>
      </c>
      <c r="C38" s="93" t="s">
        <v>27</v>
      </c>
      <c r="D38" s="119">
        <f>D39+D40+D41+D42+D43+D44+D45+D46+D47</f>
        <v>332.43</v>
      </c>
      <c r="E38" s="119">
        <f>E39+E40+E41+E42+E43+E44+E45+E46+E47</f>
        <v>79.25</v>
      </c>
      <c r="F38" s="119">
        <f>F39+F40+F41+F42+F43+F44+F45+F46+F47</f>
        <v>2407.6</v>
      </c>
      <c r="G38" s="141"/>
      <c r="H38" s="119">
        <f t="shared" ref="H38:H107" si="1">SUM(D38:G38)</f>
        <v>2819.28</v>
      </c>
      <c r="I38" s="302">
        <f>I39+I40+I41+I42+I43+I44+I45+I46+I47</f>
        <v>2381000</v>
      </c>
      <c r="J38" s="302">
        <f>J39+J40+J41+J42+J43+J44+J45+J46+J47</f>
        <v>567588</v>
      </c>
      <c r="K38" s="302">
        <f>K39+K40+K41+K42+K43+K44+K45+K46+K47</f>
        <v>9847084</v>
      </c>
      <c r="L38" s="303"/>
      <c r="M38" s="302">
        <f t="shared" ref="M38:M57" si="2">SUM(I38:L38)</f>
        <v>12795672</v>
      </c>
    </row>
    <row r="39" spans="1:13" s="127" customFormat="1" ht="25.5" outlineLevel="1" x14ac:dyDescent="0.2">
      <c r="A39" s="126" t="s">
        <v>167</v>
      </c>
      <c r="B39" s="124" t="s">
        <v>149</v>
      </c>
      <c r="C39" s="124" t="s">
        <v>150</v>
      </c>
      <c r="D39" s="140">
        <v>133.87</v>
      </c>
      <c r="E39" s="140"/>
      <c r="F39" s="140"/>
      <c r="G39" s="142"/>
      <c r="H39" s="140">
        <f t="shared" si="1"/>
        <v>133.87</v>
      </c>
      <c r="I39" s="305">
        <f>D39*(1.023*1.005-2.3%*15%)*6.99*1000</f>
        <v>958832</v>
      </c>
      <c r="J39" s="305">
        <f>E39*(1.023*1.005-2.3%*15%)*6.99*1000</f>
        <v>0</v>
      </c>
      <c r="K39" s="305">
        <f>F39*4.09*1000</f>
        <v>0</v>
      </c>
      <c r="L39" s="304"/>
      <c r="M39" s="304">
        <f t="shared" si="2"/>
        <v>958832</v>
      </c>
    </row>
    <row r="40" spans="1:13" s="127" customFormat="1" ht="25.5" outlineLevel="1" x14ac:dyDescent="0.2">
      <c r="A40" s="126" t="s">
        <v>168</v>
      </c>
      <c r="B40" s="124" t="s">
        <v>151</v>
      </c>
      <c r="C40" s="124" t="s">
        <v>152</v>
      </c>
      <c r="D40" s="140">
        <v>35.770000000000003</v>
      </c>
      <c r="E40" s="140"/>
      <c r="F40" s="140"/>
      <c r="G40" s="142"/>
      <c r="H40" s="140">
        <f t="shared" si="1"/>
        <v>35.770000000000003</v>
      </c>
      <c r="I40" s="305">
        <f t="shared" ref="I40:I47" si="3">D40*(1.023*1.005-2.3%*15%)*6.99*1000</f>
        <v>256199</v>
      </c>
      <c r="J40" s="305">
        <f t="shared" ref="J40:J47" si="4">E40*(1.023*1.005-2.3%*15%)*6.99*1000</f>
        <v>0</v>
      </c>
      <c r="K40" s="305">
        <f t="shared" ref="K40:K47" si="5">F40*4.09*1000</f>
        <v>0</v>
      </c>
      <c r="L40" s="304"/>
      <c r="M40" s="304">
        <f t="shared" si="2"/>
        <v>256199</v>
      </c>
    </row>
    <row r="41" spans="1:13" s="127" customFormat="1" ht="25.5" outlineLevel="1" x14ac:dyDescent="0.2">
      <c r="A41" s="126" t="s">
        <v>169</v>
      </c>
      <c r="B41" s="124" t="s">
        <v>153</v>
      </c>
      <c r="C41" s="124" t="s">
        <v>154</v>
      </c>
      <c r="D41" s="140">
        <v>120.47</v>
      </c>
      <c r="E41" s="140">
        <v>4.88</v>
      </c>
      <c r="F41" s="140">
        <v>246.61</v>
      </c>
      <c r="G41" s="142"/>
      <c r="H41" s="140">
        <f t="shared" si="1"/>
        <v>371.96</v>
      </c>
      <c r="I41" s="305">
        <f t="shared" si="3"/>
        <v>862855</v>
      </c>
      <c r="J41" s="305">
        <f t="shared" si="4"/>
        <v>34953</v>
      </c>
      <c r="K41" s="305">
        <f t="shared" si="5"/>
        <v>1008635</v>
      </c>
      <c r="L41" s="304"/>
      <c r="M41" s="304">
        <f t="shared" si="2"/>
        <v>1906443</v>
      </c>
    </row>
    <row r="42" spans="1:13" s="127" customFormat="1" ht="38.25" outlineLevel="1" x14ac:dyDescent="0.2">
      <c r="A42" s="126" t="s">
        <v>170</v>
      </c>
      <c r="B42" s="124" t="s">
        <v>155</v>
      </c>
      <c r="C42" s="124" t="s">
        <v>156</v>
      </c>
      <c r="D42" s="140">
        <v>0.97</v>
      </c>
      <c r="E42" s="140">
        <v>0.09</v>
      </c>
      <c r="F42" s="140"/>
      <c r="G42" s="142"/>
      <c r="H42" s="140">
        <f t="shared" si="1"/>
        <v>1.06</v>
      </c>
      <c r="I42" s="305">
        <f t="shared" si="3"/>
        <v>6948</v>
      </c>
      <c r="J42" s="305">
        <f t="shared" si="4"/>
        <v>645</v>
      </c>
      <c r="K42" s="305">
        <f t="shared" si="5"/>
        <v>0</v>
      </c>
      <c r="L42" s="304"/>
      <c r="M42" s="304">
        <f t="shared" si="2"/>
        <v>7593</v>
      </c>
    </row>
    <row r="43" spans="1:13" s="127" customFormat="1" ht="25.5" outlineLevel="1" x14ac:dyDescent="0.2">
      <c r="A43" s="126" t="s">
        <v>171</v>
      </c>
      <c r="B43" s="124" t="s">
        <v>157</v>
      </c>
      <c r="C43" s="124" t="s">
        <v>158</v>
      </c>
      <c r="D43" s="140">
        <v>35.619999999999997</v>
      </c>
      <c r="E43" s="140">
        <v>16.3</v>
      </c>
      <c r="F43" s="140">
        <v>61.96</v>
      </c>
      <c r="G43" s="142"/>
      <c r="H43" s="140">
        <f t="shared" si="1"/>
        <v>113.88</v>
      </c>
      <c r="I43" s="305">
        <f t="shared" si="3"/>
        <v>255125</v>
      </c>
      <c r="J43" s="305">
        <f t="shared" si="4"/>
        <v>116747</v>
      </c>
      <c r="K43" s="305">
        <f t="shared" si="5"/>
        <v>253416</v>
      </c>
      <c r="L43" s="304"/>
      <c r="M43" s="304">
        <f t="shared" si="2"/>
        <v>625288</v>
      </c>
    </row>
    <row r="44" spans="1:13" s="127" customFormat="1" ht="25.5" outlineLevel="1" x14ac:dyDescent="0.2">
      <c r="A44" s="126" t="s">
        <v>172</v>
      </c>
      <c r="B44" s="124" t="s">
        <v>159</v>
      </c>
      <c r="C44" s="124" t="s">
        <v>160</v>
      </c>
      <c r="D44" s="140">
        <v>5.73</v>
      </c>
      <c r="E44" s="140"/>
      <c r="F44" s="140"/>
      <c r="G44" s="142"/>
      <c r="H44" s="140">
        <f t="shared" si="1"/>
        <v>5.73</v>
      </c>
      <c r="I44" s="305">
        <f t="shared" si="3"/>
        <v>41041</v>
      </c>
      <c r="J44" s="305">
        <f t="shared" si="4"/>
        <v>0</v>
      </c>
      <c r="K44" s="305">
        <f t="shared" si="5"/>
        <v>0</v>
      </c>
      <c r="L44" s="304"/>
      <c r="M44" s="304">
        <f t="shared" si="2"/>
        <v>41041</v>
      </c>
    </row>
    <row r="45" spans="1:13" s="127" customFormat="1" ht="25.5" outlineLevel="1" x14ac:dyDescent="0.2">
      <c r="A45" s="126" t="s">
        <v>173</v>
      </c>
      <c r="B45" s="124" t="s">
        <v>161</v>
      </c>
      <c r="C45" s="124" t="s">
        <v>162</v>
      </c>
      <c r="D45" s="140"/>
      <c r="E45" s="140">
        <v>13</v>
      </c>
      <c r="F45" s="140">
        <v>84.09</v>
      </c>
      <c r="G45" s="142"/>
      <c r="H45" s="140">
        <f t="shared" si="1"/>
        <v>97.09</v>
      </c>
      <c r="I45" s="305">
        <f t="shared" si="3"/>
        <v>0</v>
      </c>
      <c r="J45" s="305">
        <f t="shared" si="4"/>
        <v>93111</v>
      </c>
      <c r="K45" s="305">
        <f t="shared" si="5"/>
        <v>343928</v>
      </c>
      <c r="L45" s="304"/>
      <c r="M45" s="304">
        <f t="shared" si="2"/>
        <v>437039</v>
      </c>
    </row>
    <row r="46" spans="1:13" s="127" customFormat="1" ht="25.5" outlineLevel="1" x14ac:dyDescent="0.2">
      <c r="A46" s="126" t="s">
        <v>174</v>
      </c>
      <c r="B46" s="124" t="s">
        <v>163</v>
      </c>
      <c r="C46" s="124" t="s">
        <v>164</v>
      </c>
      <c r="D46" s="140"/>
      <c r="E46" s="140">
        <v>31.95</v>
      </c>
      <c r="F46" s="140">
        <v>1722.34</v>
      </c>
      <c r="G46" s="142"/>
      <c r="H46" s="140">
        <f t="shared" si="1"/>
        <v>1754.29</v>
      </c>
      <c r="I46" s="305">
        <f t="shared" si="3"/>
        <v>0</v>
      </c>
      <c r="J46" s="305">
        <f>E46*(1.023*1.005-2.3%*15%)*6.99*1000-33</f>
        <v>228806</v>
      </c>
      <c r="K46" s="305">
        <f t="shared" si="5"/>
        <v>7044371</v>
      </c>
      <c r="L46" s="304"/>
      <c r="M46" s="304">
        <f t="shared" si="2"/>
        <v>7273177</v>
      </c>
    </row>
    <row r="47" spans="1:13" s="127" customFormat="1" ht="25.5" outlineLevel="1" x14ac:dyDescent="0.2">
      <c r="A47" s="126" t="s">
        <v>175</v>
      </c>
      <c r="B47" s="124" t="s">
        <v>165</v>
      </c>
      <c r="C47" s="124" t="s">
        <v>166</v>
      </c>
      <c r="D47" s="140"/>
      <c r="E47" s="140">
        <v>13.03</v>
      </c>
      <c r="F47" s="140">
        <v>292.60000000000002</v>
      </c>
      <c r="G47" s="142"/>
      <c r="H47" s="140">
        <f t="shared" si="1"/>
        <v>305.63</v>
      </c>
      <c r="I47" s="305">
        <f t="shared" si="3"/>
        <v>0</v>
      </c>
      <c r="J47" s="305">
        <f t="shared" si="4"/>
        <v>93326</v>
      </c>
      <c r="K47" s="305">
        <f t="shared" si="5"/>
        <v>1196734</v>
      </c>
      <c r="L47" s="304"/>
      <c r="M47" s="304">
        <f t="shared" si="2"/>
        <v>1290060</v>
      </c>
    </row>
    <row r="48" spans="1:13" ht="25.5" x14ac:dyDescent="0.2">
      <c r="A48" s="87">
        <v>6</v>
      </c>
      <c r="B48" s="93" t="s">
        <v>28</v>
      </c>
      <c r="C48" s="93" t="s">
        <v>29</v>
      </c>
      <c r="D48" s="119">
        <f>D49+D50+D51+D52+D53+D54+D55+D56+D57</f>
        <v>1018.03</v>
      </c>
      <c r="E48" s="119">
        <f>E49+E50+E51+E52+E53+E54+E55+E56+E57</f>
        <v>72.930000000000007</v>
      </c>
      <c r="F48" s="119">
        <f>F49+F50+F51+F52+F53+F54+F55+F56+F57</f>
        <v>1093.8699999999999</v>
      </c>
      <c r="G48" s="141"/>
      <c r="H48" s="119">
        <f t="shared" si="1"/>
        <v>2184.83</v>
      </c>
      <c r="I48" s="302">
        <f>I49+I50+I51+I52+I53+I54+I55+I56+I57</f>
        <v>7291548</v>
      </c>
      <c r="J48" s="302">
        <f>J49+J50+J51+J52+J53+J54+J55+J56+J57</f>
        <v>522355</v>
      </c>
      <c r="K48" s="302">
        <f>K49+K50+K51+K52+K53+K54+K55+K56+K57</f>
        <v>4473928</v>
      </c>
      <c r="L48" s="303"/>
      <c r="M48" s="302">
        <f>SUM(I48:L48)</f>
        <v>12287831</v>
      </c>
    </row>
    <row r="49" spans="1:13" s="127" customFormat="1" ht="25.5" outlineLevel="1" x14ac:dyDescent="0.2">
      <c r="A49" s="128" t="s">
        <v>176</v>
      </c>
      <c r="B49" s="124" t="s">
        <v>235</v>
      </c>
      <c r="C49" s="124" t="s">
        <v>150</v>
      </c>
      <c r="D49" s="144">
        <v>209.22</v>
      </c>
      <c r="E49" s="134"/>
      <c r="F49" s="134"/>
      <c r="G49" s="134"/>
      <c r="H49" s="140">
        <f t="shared" si="1"/>
        <v>209.22</v>
      </c>
      <c r="I49" s="305">
        <f>D49*(1.023*1.005-2.3%*15%)*6.99*1000</f>
        <v>1498519</v>
      </c>
      <c r="J49" s="305">
        <f>E49*(1.023*1.005-2.3%*15%)*6.99*1000</f>
        <v>0</v>
      </c>
      <c r="K49" s="305">
        <f>F49*4.09*1000</f>
        <v>0</v>
      </c>
      <c r="L49" s="304"/>
      <c r="M49" s="304">
        <f t="shared" si="2"/>
        <v>1498519</v>
      </c>
    </row>
    <row r="50" spans="1:13" s="127" customFormat="1" ht="25.5" outlineLevel="1" x14ac:dyDescent="0.2">
      <c r="A50" s="128" t="s">
        <v>177</v>
      </c>
      <c r="B50" s="124" t="s">
        <v>236</v>
      </c>
      <c r="C50" s="124" t="s">
        <v>152</v>
      </c>
      <c r="D50" s="144">
        <v>186.03</v>
      </c>
      <c r="E50" s="134"/>
      <c r="F50" s="134"/>
      <c r="G50" s="134"/>
      <c r="H50" s="140">
        <f t="shared" si="1"/>
        <v>186.03</v>
      </c>
      <c r="I50" s="305">
        <f t="shared" ref="I50:I57" si="6">D50*(1.023*1.005-2.3%*15%)*6.99*1000</f>
        <v>1332423</v>
      </c>
      <c r="J50" s="305">
        <f t="shared" ref="J50:J57" si="7">E50*(1.023*1.005-2.3%*15%)*6.99*1000</f>
        <v>0</v>
      </c>
      <c r="K50" s="305">
        <f t="shared" ref="K50:K57" si="8">F50*4.09*1000</f>
        <v>0</v>
      </c>
      <c r="L50" s="304"/>
      <c r="M50" s="304">
        <f t="shared" si="2"/>
        <v>1332423</v>
      </c>
    </row>
    <row r="51" spans="1:13" s="127" customFormat="1" ht="25.5" outlineLevel="1" x14ac:dyDescent="0.2">
      <c r="A51" s="128" t="s">
        <v>178</v>
      </c>
      <c r="B51" s="124" t="s">
        <v>237</v>
      </c>
      <c r="C51" s="124" t="s">
        <v>154</v>
      </c>
      <c r="D51" s="144">
        <v>546.09</v>
      </c>
      <c r="E51" s="144">
        <v>4.88</v>
      </c>
      <c r="F51" s="144">
        <v>676.16</v>
      </c>
      <c r="G51" s="134"/>
      <c r="H51" s="140">
        <f t="shared" si="1"/>
        <v>1227.1300000000001</v>
      </c>
      <c r="I51" s="305">
        <f t="shared" si="6"/>
        <v>3911320</v>
      </c>
      <c r="J51" s="305">
        <f t="shared" si="7"/>
        <v>34953</v>
      </c>
      <c r="K51" s="305">
        <f t="shared" si="8"/>
        <v>2765494</v>
      </c>
      <c r="L51" s="304"/>
      <c r="M51" s="304">
        <f t="shared" si="2"/>
        <v>6711767</v>
      </c>
    </row>
    <row r="52" spans="1:13" s="127" customFormat="1" ht="38.25" outlineLevel="1" x14ac:dyDescent="0.2">
      <c r="A52" s="128" t="s">
        <v>179</v>
      </c>
      <c r="B52" s="124" t="s">
        <v>238</v>
      </c>
      <c r="C52" s="124" t="s">
        <v>156</v>
      </c>
      <c r="D52" s="144">
        <v>26.79</v>
      </c>
      <c r="E52" s="144">
        <v>0.21</v>
      </c>
      <c r="F52" s="134"/>
      <c r="G52" s="134"/>
      <c r="H52" s="140">
        <f t="shared" si="1"/>
        <v>27</v>
      </c>
      <c r="I52" s="305">
        <f t="shared" si="6"/>
        <v>191881</v>
      </c>
      <c r="J52" s="305">
        <f t="shared" si="7"/>
        <v>1504</v>
      </c>
      <c r="K52" s="305">
        <f t="shared" si="8"/>
        <v>0</v>
      </c>
      <c r="L52" s="304"/>
      <c r="M52" s="304">
        <f t="shared" si="2"/>
        <v>193385</v>
      </c>
    </row>
    <row r="53" spans="1:13" s="127" customFormat="1" ht="25.5" outlineLevel="1" x14ac:dyDescent="0.2">
      <c r="A53" s="128" t="s">
        <v>180</v>
      </c>
      <c r="B53" s="124" t="s">
        <v>239</v>
      </c>
      <c r="C53" s="124" t="s">
        <v>158</v>
      </c>
      <c r="D53" s="144">
        <v>44.17</v>
      </c>
      <c r="E53" s="140">
        <v>18.46</v>
      </c>
      <c r="F53" s="144">
        <v>61.96</v>
      </c>
      <c r="G53" s="134"/>
      <c r="H53" s="140">
        <f t="shared" si="1"/>
        <v>124.59</v>
      </c>
      <c r="I53" s="305">
        <f t="shared" si="6"/>
        <v>316364</v>
      </c>
      <c r="J53" s="305">
        <f t="shared" si="7"/>
        <v>132218</v>
      </c>
      <c r="K53" s="305">
        <f t="shared" si="8"/>
        <v>253416</v>
      </c>
      <c r="L53" s="304"/>
      <c r="M53" s="304">
        <f t="shared" si="2"/>
        <v>701998</v>
      </c>
    </row>
    <row r="54" spans="1:13" s="127" customFormat="1" ht="25.5" outlineLevel="1" x14ac:dyDescent="0.2">
      <c r="A54" s="128" t="s">
        <v>181</v>
      </c>
      <c r="B54" s="124" t="s">
        <v>240</v>
      </c>
      <c r="C54" s="124" t="s">
        <v>160</v>
      </c>
      <c r="D54" s="144">
        <v>5.73</v>
      </c>
      <c r="E54" s="134"/>
      <c r="F54" s="134"/>
      <c r="G54" s="134"/>
      <c r="H54" s="140">
        <f t="shared" si="1"/>
        <v>5.73</v>
      </c>
      <c r="I54" s="305">
        <f t="shared" si="6"/>
        <v>41041</v>
      </c>
      <c r="J54" s="305">
        <f t="shared" si="7"/>
        <v>0</v>
      </c>
      <c r="K54" s="305">
        <f t="shared" si="8"/>
        <v>0</v>
      </c>
      <c r="L54" s="304"/>
      <c r="M54" s="304">
        <f t="shared" si="2"/>
        <v>41041</v>
      </c>
    </row>
    <row r="55" spans="1:13" s="127" customFormat="1" ht="25.5" outlineLevel="1" x14ac:dyDescent="0.2">
      <c r="A55" s="128" t="s">
        <v>182</v>
      </c>
      <c r="B55" s="124" t="s">
        <v>241</v>
      </c>
      <c r="C55" s="124" t="s">
        <v>162</v>
      </c>
      <c r="D55" s="134"/>
      <c r="E55" s="140">
        <v>16.48</v>
      </c>
      <c r="F55" s="144">
        <v>12.43</v>
      </c>
      <c r="G55" s="134"/>
      <c r="H55" s="140">
        <f t="shared" si="1"/>
        <v>28.91</v>
      </c>
      <c r="I55" s="305">
        <f t="shared" si="6"/>
        <v>0</v>
      </c>
      <c r="J55" s="305">
        <f t="shared" si="7"/>
        <v>118036</v>
      </c>
      <c r="K55" s="305">
        <f t="shared" si="8"/>
        <v>50839</v>
      </c>
      <c r="L55" s="304"/>
      <c r="M55" s="304">
        <f t="shared" si="2"/>
        <v>168875</v>
      </c>
    </row>
    <row r="56" spans="1:13" s="127" customFormat="1" ht="25.5" outlineLevel="1" x14ac:dyDescent="0.2">
      <c r="A56" s="128" t="s">
        <v>183</v>
      </c>
      <c r="B56" s="124" t="s">
        <v>242</v>
      </c>
      <c r="C56" s="124" t="s">
        <v>164</v>
      </c>
      <c r="D56" s="134"/>
      <c r="E56" s="144">
        <v>18.5</v>
      </c>
      <c r="F56" s="144">
        <v>219.1</v>
      </c>
      <c r="G56" s="134"/>
      <c r="H56" s="140">
        <f t="shared" si="1"/>
        <v>237.6</v>
      </c>
      <c r="I56" s="305">
        <f t="shared" si="6"/>
        <v>0</v>
      </c>
      <c r="J56" s="305">
        <f t="shared" si="7"/>
        <v>132505</v>
      </c>
      <c r="K56" s="305">
        <f t="shared" si="8"/>
        <v>896119</v>
      </c>
      <c r="L56" s="304"/>
      <c r="M56" s="304">
        <f t="shared" si="2"/>
        <v>1028624</v>
      </c>
    </row>
    <row r="57" spans="1:13" s="127" customFormat="1" ht="25.5" outlineLevel="1" x14ac:dyDescent="0.2">
      <c r="A57" s="128" t="s">
        <v>184</v>
      </c>
      <c r="B57" s="124" t="s">
        <v>243</v>
      </c>
      <c r="C57" s="124" t="s">
        <v>166</v>
      </c>
      <c r="D57" s="134"/>
      <c r="E57" s="144">
        <v>14.4</v>
      </c>
      <c r="F57" s="140">
        <v>124.22</v>
      </c>
      <c r="G57" s="134"/>
      <c r="H57" s="140">
        <f t="shared" si="1"/>
        <v>138.62</v>
      </c>
      <c r="I57" s="305">
        <f t="shared" si="6"/>
        <v>0</v>
      </c>
      <c r="J57" s="305">
        <f t="shared" si="7"/>
        <v>103139</v>
      </c>
      <c r="K57" s="305">
        <f t="shared" si="8"/>
        <v>508060</v>
      </c>
      <c r="L57" s="304"/>
      <c r="M57" s="304">
        <f t="shared" si="2"/>
        <v>611199</v>
      </c>
    </row>
    <row r="58" spans="1:13" ht="27.95" customHeight="1" x14ac:dyDescent="0.2">
      <c r="A58" s="91"/>
      <c r="B58" s="665" t="s">
        <v>30</v>
      </c>
      <c r="C58" s="666"/>
      <c r="D58" s="81">
        <f>D33+D38+D48</f>
        <v>3573.21</v>
      </c>
      <c r="E58" s="81">
        <f>E33+E38+E48</f>
        <v>656.57</v>
      </c>
      <c r="F58" s="81">
        <f>F33+F38+F48</f>
        <v>3655.37</v>
      </c>
      <c r="G58" s="82"/>
      <c r="H58" s="81">
        <f t="shared" si="1"/>
        <v>7885.15</v>
      </c>
      <c r="I58" s="306">
        <f>I33+I38+I48</f>
        <v>25592791</v>
      </c>
      <c r="J58" s="306">
        <f>J33+J38+J48</f>
        <v>4702591</v>
      </c>
      <c r="K58" s="306">
        <f>K33+K38+K48</f>
        <v>14950463</v>
      </c>
      <c r="L58" s="303"/>
      <c r="M58" s="302">
        <f>SUM(I58:L58)</f>
        <v>45245845</v>
      </c>
    </row>
    <row r="59" spans="1:13" ht="12.75" customHeight="1" x14ac:dyDescent="0.2">
      <c r="A59" s="663" t="s">
        <v>31</v>
      </c>
      <c r="B59" s="664"/>
      <c r="C59" s="664"/>
      <c r="D59" s="664"/>
      <c r="E59" s="664"/>
      <c r="F59" s="664"/>
      <c r="G59" s="664"/>
      <c r="H59" s="664"/>
      <c r="I59" s="308"/>
      <c r="J59" s="308"/>
      <c r="K59" s="308"/>
      <c r="L59" s="301"/>
      <c r="M59" s="301">
        <f t="shared" si="0"/>
        <v>0</v>
      </c>
    </row>
    <row r="60" spans="1:13" x14ac:dyDescent="0.2">
      <c r="A60" s="87">
        <v>7</v>
      </c>
      <c r="B60" s="93" t="s">
        <v>32</v>
      </c>
      <c r="C60" s="93" t="s">
        <v>33</v>
      </c>
      <c r="D60" s="119">
        <f>D61+D62</f>
        <v>83.09</v>
      </c>
      <c r="E60" s="119">
        <f>E61+E62</f>
        <v>71.27</v>
      </c>
      <c r="F60" s="119">
        <f>F61+F62</f>
        <v>5946.63</v>
      </c>
      <c r="G60" s="141"/>
      <c r="H60" s="119">
        <f t="shared" si="1"/>
        <v>6100.99</v>
      </c>
      <c r="I60" s="302">
        <f>I61+I62</f>
        <v>595125</v>
      </c>
      <c r="J60" s="302">
        <f>J61+J62</f>
        <v>510465</v>
      </c>
      <c r="K60" s="302">
        <f>K61+K62</f>
        <v>24321701</v>
      </c>
      <c r="L60" s="303"/>
      <c r="M60" s="302">
        <f t="shared" si="0"/>
        <v>25427291</v>
      </c>
    </row>
    <row r="61" spans="1:13" s="127" customFormat="1" ht="25.5" outlineLevel="1" x14ac:dyDescent="0.2">
      <c r="A61" s="128" t="s">
        <v>189</v>
      </c>
      <c r="B61" s="124" t="s">
        <v>185</v>
      </c>
      <c r="C61" s="124" t="s">
        <v>186</v>
      </c>
      <c r="D61" s="144">
        <v>76.09</v>
      </c>
      <c r="E61" s="134"/>
      <c r="F61" s="134"/>
      <c r="G61" s="134"/>
      <c r="H61" s="140">
        <f t="shared" si="1"/>
        <v>76.09</v>
      </c>
      <c r="I61" s="304">
        <f t="shared" ref="I61:J64" si="9">D61*(1.023*1.005-2.3%*15%)*6.99*1000</f>
        <v>544988</v>
      </c>
      <c r="J61" s="304">
        <f t="shared" si="9"/>
        <v>0</v>
      </c>
      <c r="K61" s="304">
        <f>F61*4.09*1000</f>
        <v>0</v>
      </c>
      <c r="L61" s="304"/>
      <c r="M61" s="304">
        <f t="shared" si="0"/>
        <v>544988</v>
      </c>
    </row>
    <row r="62" spans="1:13" s="127" customFormat="1" outlineLevel="1" x14ac:dyDescent="0.2">
      <c r="A62" s="126" t="s">
        <v>190</v>
      </c>
      <c r="B62" s="124" t="s">
        <v>187</v>
      </c>
      <c r="C62" s="124" t="s">
        <v>188</v>
      </c>
      <c r="D62" s="144">
        <v>7</v>
      </c>
      <c r="E62" s="144">
        <v>71.27</v>
      </c>
      <c r="F62" s="144">
        <v>5946.63</v>
      </c>
      <c r="G62" s="134"/>
      <c r="H62" s="140">
        <f t="shared" si="1"/>
        <v>6024.9</v>
      </c>
      <c r="I62" s="304">
        <f t="shared" si="9"/>
        <v>50137</v>
      </c>
      <c r="J62" s="304">
        <f t="shared" si="9"/>
        <v>510465</v>
      </c>
      <c r="K62" s="304">
        <f>F62*4.09*1000-16</f>
        <v>24321701</v>
      </c>
      <c r="L62" s="304"/>
      <c r="M62" s="304">
        <f t="shared" si="0"/>
        <v>24882303</v>
      </c>
    </row>
    <row r="63" spans="1:13" ht="17.25" customHeight="1" x14ac:dyDescent="0.2">
      <c r="A63" s="87">
        <v>8</v>
      </c>
      <c r="B63" s="93" t="s">
        <v>34</v>
      </c>
      <c r="C63" s="93" t="s">
        <v>35</v>
      </c>
      <c r="D63" s="119">
        <v>129.13999999999999</v>
      </c>
      <c r="E63" s="119">
        <v>104.61</v>
      </c>
      <c r="F63" s="119">
        <v>15.2</v>
      </c>
      <c r="G63" s="141"/>
      <c r="H63" s="119">
        <f t="shared" si="1"/>
        <v>248.95</v>
      </c>
      <c r="I63" s="308">
        <f t="shared" si="9"/>
        <v>924953</v>
      </c>
      <c r="J63" s="308">
        <f t="shared" si="9"/>
        <v>749260</v>
      </c>
      <c r="K63" s="308">
        <f>F63*4.09*1000</f>
        <v>62168</v>
      </c>
      <c r="L63" s="301"/>
      <c r="M63" s="301">
        <f t="shared" si="0"/>
        <v>1736381</v>
      </c>
    </row>
    <row r="64" spans="1:13" ht="17.25" customHeight="1" x14ac:dyDescent="0.2">
      <c r="A64" s="87">
        <v>9</v>
      </c>
      <c r="B64" s="93" t="s">
        <v>36</v>
      </c>
      <c r="C64" s="93" t="s">
        <v>37</v>
      </c>
      <c r="D64" s="119">
        <v>76.88</v>
      </c>
      <c r="E64" s="119">
        <v>46.14</v>
      </c>
      <c r="F64" s="141"/>
      <c r="G64" s="141"/>
      <c r="H64" s="119">
        <f t="shared" si="1"/>
        <v>123.02</v>
      </c>
      <c r="I64" s="308">
        <f t="shared" si="9"/>
        <v>550646</v>
      </c>
      <c r="J64" s="308">
        <f t="shared" si="9"/>
        <v>330474</v>
      </c>
      <c r="K64" s="308">
        <f>F64*4.09*1000</f>
        <v>0</v>
      </c>
      <c r="L64" s="301"/>
      <c r="M64" s="301">
        <f t="shared" si="0"/>
        <v>881120</v>
      </c>
    </row>
    <row r="65" spans="1:13" ht="27.95" customHeight="1" x14ac:dyDescent="0.2">
      <c r="A65" s="91"/>
      <c r="B65" s="665" t="s">
        <v>38</v>
      </c>
      <c r="C65" s="666"/>
      <c r="D65" s="81">
        <f>D60+D63+D64</f>
        <v>289.11</v>
      </c>
      <c r="E65" s="81">
        <f>E60+E63+E64</f>
        <v>222.02</v>
      </c>
      <c r="F65" s="81">
        <f>F60+F63+F64</f>
        <v>5961.83</v>
      </c>
      <c r="G65" s="82"/>
      <c r="H65" s="81">
        <f t="shared" si="1"/>
        <v>6472.96</v>
      </c>
      <c r="I65" s="306">
        <f>I60+I63+I64</f>
        <v>2070724</v>
      </c>
      <c r="J65" s="306">
        <f>J60+J63+J64</f>
        <v>1590199</v>
      </c>
      <c r="K65" s="306">
        <f>K60+K63+K64</f>
        <v>24383869</v>
      </c>
      <c r="L65" s="303"/>
      <c r="M65" s="302">
        <f t="shared" si="0"/>
        <v>28044792</v>
      </c>
    </row>
    <row r="66" spans="1:13" ht="12.75" customHeight="1" x14ac:dyDescent="0.2">
      <c r="A66" s="663" t="s">
        <v>39</v>
      </c>
      <c r="B66" s="664"/>
      <c r="C66" s="664"/>
      <c r="D66" s="664"/>
      <c r="E66" s="664"/>
      <c r="F66" s="664"/>
      <c r="G66" s="664"/>
      <c r="H66" s="664"/>
      <c r="I66" s="308"/>
      <c r="J66" s="308"/>
      <c r="K66" s="308"/>
      <c r="L66" s="301"/>
      <c r="M66" s="301"/>
    </row>
    <row r="67" spans="1:13" x14ac:dyDescent="0.2">
      <c r="A67" s="87">
        <v>10</v>
      </c>
      <c r="B67" s="93" t="s">
        <v>40</v>
      </c>
      <c r="C67" s="93" t="s">
        <v>102</v>
      </c>
      <c r="D67" s="101">
        <v>3.69</v>
      </c>
      <c r="E67" s="101">
        <v>48.02</v>
      </c>
      <c r="F67" s="101">
        <v>4.95</v>
      </c>
      <c r="G67" s="103"/>
      <c r="H67" s="101">
        <f t="shared" si="1"/>
        <v>56.66</v>
      </c>
      <c r="I67" s="308">
        <f>D67*(1.023*1.005-2.3%*15%)*6.99*1000</f>
        <v>26429</v>
      </c>
      <c r="J67" s="308">
        <f>E67*(1.023*1.005-2.3%*15%)*6.99*1000</f>
        <v>343939</v>
      </c>
      <c r="K67" s="308">
        <f>F67*4.09*1000</f>
        <v>20246</v>
      </c>
      <c r="L67" s="301"/>
      <c r="M67" s="301">
        <f t="shared" si="0"/>
        <v>390614</v>
      </c>
    </row>
    <row r="68" spans="1:13" ht="27.95" customHeight="1" x14ac:dyDescent="0.2">
      <c r="A68" s="91"/>
      <c r="B68" s="665" t="s">
        <v>41</v>
      </c>
      <c r="C68" s="666"/>
      <c r="D68" s="94">
        <f>D67</f>
        <v>3.69</v>
      </c>
      <c r="E68" s="94">
        <f>E67</f>
        <v>48.02</v>
      </c>
      <c r="F68" s="94">
        <f>F67</f>
        <v>4.95</v>
      </c>
      <c r="G68" s="89"/>
      <c r="H68" s="94">
        <f t="shared" si="1"/>
        <v>56.66</v>
      </c>
      <c r="I68" s="306">
        <f>I67</f>
        <v>26429</v>
      </c>
      <c r="J68" s="306">
        <f>J67</f>
        <v>343939</v>
      </c>
      <c r="K68" s="306">
        <f>K67</f>
        <v>20246</v>
      </c>
      <c r="L68" s="303"/>
      <c r="M68" s="302">
        <f t="shared" si="0"/>
        <v>390614</v>
      </c>
    </row>
    <row r="69" spans="1:13" ht="12.75" customHeight="1" x14ac:dyDescent="0.2">
      <c r="A69" s="663" t="s">
        <v>42</v>
      </c>
      <c r="B69" s="664"/>
      <c r="C69" s="664"/>
      <c r="D69" s="664"/>
      <c r="E69" s="664"/>
      <c r="F69" s="664"/>
      <c r="G69" s="664"/>
      <c r="H69" s="664"/>
      <c r="I69" s="308"/>
      <c r="J69" s="308"/>
      <c r="K69" s="308"/>
      <c r="L69" s="301"/>
      <c r="M69" s="301">
        <f t="shared" si="0"/>
        <v>0</v>
      </c>
    </row>
    <row r="70" spans="1:13" x14ac:dyDescent="0.2">
      <c r="A70" s="87">
        <v>11</v>
      </c>
      <c r="B70" s="93" t="s">
        <v>43</v>
      </c>
      <c r="C70" s="93" t="s">
        <v>130</v>
      </c>
      <c r="D70" s="101">
        <v>602.27</v>
      </c>
      <c r="E70" s="103"/>
      <c r="F70" s="103"/>
      <c r="G70" s="103"/>
      <c r="H70" s="101">
        <f t="shared" si="1"/>
        <v>602.27</v>
      </c>
      <c r="I70" s="308">
        <f>D70*(1.023*1.005-2.3%*15%)*6.99*1000-50</f>
        <v>4313654</v>
      </c>
      <c r="J70" s="308">
        <f>E70*(1.023*1.005-2.3%*15%)*6.99*1000</f>
        <v>0</v>
      </c>
      <c r="K70" s="308">
        <f>F70*4.09*1000</f>
        <v>0</v>
      </c>
      <c r="L70" s="301"/>
      <c r="M70" s="301">
        <f t="shared" si="0"/>
        <v>4313654</v>
      </c>
    </row>
    <row r="71" spans="1:13" ht="27.95" customHeight="1" x14ac:dyDescent="0.2">
      <c r="A71" s="91"/>
      <c r="B71" s="665" t="s">
        <v>44</v>
      </c>
      <c r="C71" s="666"/>
      <c r="D71" s="94">
        <f>D70</f>
        <v>602.27</v>
      </c>
      <c r="E71" s="89"/>
      <c r="F71" s="89"/>
      <c r="G71" s="89"/>
      <c r="H71" s="94">
        <f t="shared" si="1"/>
        <v>602.27</v>
      </c>
      <c r="I71" s="306">
        <f>I70</f>
        <v>4313654</v>
      </c>
      <c r="J71" s="307"/>
      <c r="K71" s="307"/>
      <c r="L71" s="303"/>
      <c r="M71" s="302">
        <f t="shared" si="0"/>
        <v>4313654</v>
      </c>
    </row>
    <row r="72" spans="1:13" ht="12.75" customHeight="1" x14ac:dyDescent="0.2">
      <c r="A72" s="91"/>
      <c r="B72" s="665" t="s">
        <v>45</v>
      </c>
      <c r="C72" s="666"/>
      <c r="D72" s="81">
        <f>D31+D58+D65+D68+D71</f>
        <v>4473.1499999999996</v>
      </c>
      <c r="E72" s="81">
        <f>E31+E58+E65+E68+E71</f>
        <v>926.61</v>
      </c>
      <c r="F72" s="81">
        <f>F31+F58+F65+F68+F71</f>
        <v>9622.15</v>
      </c>
      <c r="G72" s="81">
        <f>G31+G58+G65+G68+G71</f>
        <v>0</v>
      </c>
      <c r="H72" s="94">
        <f t="shared" si="1"/>
        <v>15021.91</v>
      </c>
      <c r="I72" s="306">
        <f>I31+I58+I65+I68+I71</f>
        <v>32038479</v>
      </c>
      <c r="J72" s="306">
        <f>J31+J58+J65+J68+J71</f>
        <v>6636729</v>
      </c>
      <c r="K72" s="306">
        <f>K31+K58+K65+K68+K71</f>
        <v>39354578</v>
      </c>
      <c r="L72" s="302">
        <f>L31+L58+L65+L68+L71</f>
        <v>0</v>
      </c>
      <c r="M72" s="302">
        <f t="shared" si="0"/>
        <v>78029786</v>
      </c>
    </row>
    <row r="73" spans="1:13" ht="12.75" customHeight="1" x14ac:dyDescent="0.2">
      <c r="A73" s="663" t="s">
        <v>46</v>
      </c>
      <c r="B73" s="664"/>
      <c r="C73" s="664"/>
      <c r="D73" s="664"/>
      <c r="E73" s="664"/>
      <c r="F73" s="664"/>
      <c r="G73" s="664"/>
      <c r="H73" s="664"/>
      <c r="I73" s="308"/>
      <c r="J73" s="308"/>
      <c r="K73" s="308"/>
      <c r="L73" s="301"/>
      <c r="M73" s="301">
        <f t="shared" si="0"/>
        <v>0</v>
      </c>
    </row>
    <row r="74" spans="1:13" x14ac:dyDescent="0.2">
      <c r="A74" s="87">
        <v>12</v>
      </c>
      <c r="B74" s="93" t="s">
        <v>47</v>
      </c>
      <c r="C74" s="93" t="s">
        <v>97</v>
      </c>
      <c r="D74" s="81">
        <f>D72*2.3%</f>
        <v>102.88</v>
      </c>
      <c r="E74" s="81">
        <f>E72*2.3%</f>
        <v>21.31</v>
      </c>
      <c r="F74" s="82"/>
      <c r="G74" s="82"/>
      <c r="H74" s="81">
        <f t="shared" si="1"/>
        <v>124.19</v>
      </c>
      <c r="I74" s="308"/>
      <c r="J74" s="308"/>
      <c r="K74" s="308"/>
      <c r="L74" s="301"/>
      <c r="M74" s="301">
        <f t="shared" si="0"/>
        <v>0</v>
      </c>
    </row>
    <row r="75" spans="1:13" x14ac:dyDescent="0.2">
      <c r="A75" s="102">
        <v>13</v>
      </c>
      <c r="B75" s="100" t="s">
        <v>103</v>
      </c>
      <c r="C75" s="100" t="s">
        <v>104</v>
      </c>
      <c r="D75" s="101">
        <v>360.33</v>
      </c>
      <c r="E75" s="103"/>
      <c r="F75" s="103"/>
      <c r="G75" s="103"/>
      <c r="H75" s="101">
        <f t="shared" si="1"/>
        <v>360.33</v>
      </c>
      <c r="I75" s="308">
        <f>D75*1.005*6.99*1000</f>
        <v>2531300</v>
      </c>
      <c r="J75" s="308">
        <f>E75*1.005*6.99*1000</f>
        <v>0</v>
      </c>
      <c r="K75" s="308">
        <f>F75*4.09*1000</f>
        <v>0</v>
      </c>
      <c r="L75" s="301"/>
      <c r="M75" s="301">
        <f t="shared" si="0"/>
        <v>2531300</v>
      </c>
    </row>
    <row r="76" spans="1:13" ht="12.75" customHeight="1" x14ac:dyDescent="0.2">
      <c r="A76" s="104"/>
      <c r="B76" s="667" t="s">
        <v>48</v>
      </c>
      <c r="C76" s="668"/>
      <c r="D76" s="119">
        <f>D74+D75</f>
        <v>463.21</v>
      </c>
      <c r="E76" s="119">
        <f>E74+E75</f>
        <v>21.31</v>
      </c>
      <c r="F76" s="103"/>
      <c r="G76" s="103"/>
      <c r="H76" s="101">
        <f t="shared" si="1"/>
        <v>484.52</v>
      </c>
      <c r="I76" s="306">
        <f>I74+I75</f>
        <v>2531300</v>
      </c>
      <c r="J76" s="306">
        <f>J74+J75</f>
        <v>0</v>
      </c>
      <c r="K76" s="307"/>
      <c r="L76" s="303"/>
      <c r="M76" s="302">
        <f t="shared" si="0"/>
        <v>2531300</v>
      </c>
    </row>
    <row r="77" spans="1:13" ht="12.75" customHeight="1" x14ac:dyDescent="0.2">
      <c r="A77" s="104"/>
      <c r="B77" s="667" t="s">
        <v>49</v>
      </c>
      <c r="C77" s="668"/>
      <c r="D77" s="119">
        <f>D72+D76</f>
        <v>4936.3599999999997</v>
      </c>
      <c r="E77" s="119">
        <f>E72+E76</f>
        <v>947.92</v>
      </c>
      <c r="F77" s="119">
        <f>F72+F76</f>
        <v>9622.15</v>
      </c>
      <c r="G77" s="119">
        <f>G72+G76</f>
        <v>0</v>
      </c>
      <c r="H77" s="101">
        <f t="shared" si="1"/>
        <v>15506.43</v>
      </c>
      <c r="I77" s="306">
        <f>I72+I76</f>
        <v>34569779</v>
      </c>
      <c r="J77" s="306">
        <f>J72+J76</f>
        <v>6636729</v>
      </c>
      <c r="K77" s="306">
        <f>K72+K76</f>
        <v>39354578</v>
      </c>
      <c r="L77" s="302">
        <f>L72+L76</f>
        <v>0</v>
      </c>
      <c r="M77" s="302">
        <f t="shared" si="0"/>
        <v>80561086</v>
      </c>
    </row>
    <row r="78" spans="1:13" ht="12.75" customHeight="1" x14ac:dyDescent="0.2">
      <c r="A78" s="669" t="s">
        <v>50</v>
      </c>
      <c r="B78" s="670"/>
      <c r="C78" s="670"/>
      <c r="D78" s="670"/>
      <c r="E78" s="670"/>
      <c r="F78" s="670"/>
      <c r="G78" s="670"/>
      <c r="H78" s="670"/>
      <c r="I78" s="308"/>
      <c r="J78" s="308"/>
      <c r="K78" s="308"/>
      <c r="L78" s="301"/>
      <c r="M78" s="301">
        <f t="shared" si="0"/>
        <v>0</v>
      </c>
    </row>
    <row r="79" spans="1:13" x14ac:dyDescent="0.2">
      <c r="A79" s="102">
        <v>14</v>
      </c>
      <c r="B79" s="100" t="s">
        <v>88</v>
      </c>
      <c r="C79" s="100" t="s">
        <v>105</v>
      </c>
      <c r="D79" s="119">
        <f>D77*0.5%</f>
        <v>24.68</v>
      </c>
      <c r="E79" s="119">
        <f>E77*0.5%</f>
        <v>4.74</v>
      </c>
      <c r="F79" s="141"/>
      <c r="G79" s="141"/>
      <c r="H79" s="119">
        <f t="shared" si="1"/>
        <v>29.42</v>
      </c>
      <c r="I79" s="308"/>
      <c r="J79" s="308"/>
      <c r="K79" s="308"/>
      <c r="L79" s="301"/>
      <c r="M79" s="301">
        <f t="shared" si="0"/>
        <v>0</v>
      </c>
    </row>
    <row r="80" spans="1:13" x14ac:dyDescent="0.2">
      <c r="A80" s="102">
        <v>15</v>
      </c>
      <c r="B80" s="100" t="s">
        <v>51</v>
      </c>
      <c r="C80" s="100" t="s">
        <v>52</v>
      </c>
      <c r="D80" s="103"/>
      <c r="E80" s="103"/>
      <c r="F80" s="103"/>
      <c r="G80" s="101">
        <v>23.98</v>
      </c>
      <c r="H80" s="101">
        <f t="shared" si="1"/>
        <v>23.98</v>
      </c>
      <c r="I80" s="301"/>
      <c r="J80" s="301"/>
      <c r="K80" s="301"/>
      <c r="L80" s="301">
        <f>G80*10.79*1000</f>
        <v>258744</v>
      </c>
      <c r="M80" s="301">
        <f t="shared" si="0"/>
        <v>258744</v>
      </c>
    </row>
    <row r="81" spans="1:19" x14ac:dyDescent="0.2">
      <c r="A81" s="102">
        <v>16</v>
      </c>
      <c r="B81" s="100" t="s">
        <v>106</v>
      </c>
      <c r="C81" s="100" t="s">
        <v>107</v>
      </c>
      <c r="D81" s="101">
        <v>19.09</v>
      </c>
      <c r="E81" s="103"/>
      <c r="F81" s="103"/>
      <c r="G81" s="103"/>
      <c r="H81" s="101">
        <f t="shared" si="1"/>
        <v>19.09</v>
      </c>
      <c r="I81" s="301">
        <f>D81*6.99*1000</f>
        <v>133439</v>
      </c>
      <c r="J81" s="301"/>
      <c r="K81" s="301"/>
      <c r="L81" s="301"/>
      <c r="M81" s="301">
        <f t="shared" si="0"/>
        <v>133439</v>
      </c>
    </row>
    <row r="82" spans="1:19" ht="25.5" x14ac:dyDescent="0.2">
      <c r="A82" s="87">
        <v>17</v>
      </c>
      <c r="B82" s="93" t="s">
        <v>53</v>
      </c>
      <c r="C82" s="93" t="s">
        <v>54</v>
      </c>
      <c r="D82" s="89"/>
      <c r="E82" s="89"/>
      <c r="F82" s="89"/>
      <c r="G82" s="101">
        <v>45.03</v>
      </c>
      <c r="H82" s="101">
        <f t="shared" si="1"/>
        <v>45.03</v>
      </c>
      <c r="I82" s="301"/>
      <c r="J82" s="301"/>
      <c r="K82" s="301"/>
      <c r="L82" s="301">
        <f>G82*10.79*1000</f>
        <v>485874</v>
      </c>
      <c r="M82" s="301">
        <f t="shared" si="0"/>
        <v>485874</v>
      </c>
      <c r="N82" s="92" t="s">
        <v>1244</v>
      </c>
      <c r="P82" s="92" t="s">
        <v>1245</v>
      </c>
      <c r="Q82" s="92" t="s">
        <v>1246</v>
      </c>
      <c r="R82" s="92" t="s">
        <v>1319</v>
      </c>
      <c r="S82" s="92" t="s">
        <v>1320</v>
      </c>
    </row>
    <row r="83" spans="1:19" s="52" customFormat="1" x14ac:dyDescent="0.2">
      <c r="A83" s="102">
        <v>18</v>
      </c>
      <c r="B83" s="100" t="s">
        <v>110</v>
      </c>
      <c r="C83" s="100" t="s">
        <v>111</v>
      </c>
      <c r="D83" s="103"/>
      <c r="E83" s="103"/>
      <c r="F83" s="103"/>
      <c r="G83" s="101">
        <v>549.27</v>
      </c>
      <c r="H83" s="101">
        <f t="shared" si="1"/>
        <v>549.27</v>
      </c>
      <c r="I83" s="301"/>
      <c r="J83" s="301"/>
      <c r="K83" s="301"/>
      <c r="L83" s="301">
        <f>G83*10.79*1000</f>
        <v>5926623</v>
      </c>
      <c r="M83" s="301">
        <f t="shared" si="0"/>
        <v>5926623</v>
      </c>
      <c r="P83" s="52">
        <f>$L$83*(I96+J96)/(I96+J96+L85)</f>
        <v>5841170.6891031703</v>
      </c>
      <c r="Q83" s="330">
        <f>$L$83*(L85)/(I96+J96+L85)</f>
        <v>85452</v>
      </c>
      <c r="R83" s="354">
        <f>P83/(P83+Q83)</f>
        <v>0.98560000000000003</v>
      </c>
      <c r="S83" s="354">
        <f>Q83/(P83+Q83)</f>
        <v>1.44E-2</v>
      </c>
    </row>
    <row r="84" spans="1:19" s="52" customFormat="1" ht="25.5" x14ac:dyDescent="0.2">
      <c r="A84" s="102">
        <v>19</v>
      </c>
      <c r="B84" s="100" t="s">
        <v>55</v>
      </c>
      <c r="C84" s="100" t="s">
        <v>113</v>
      </c>
      <c r="D84" s="103"/>
      <c r="E84" s="103"/>
      <c r="F84" s="103"/>
      <c r="G84" s="101">
        <v>25.63</v>
      </c>
      <c r="H84" s="101">
        <f t="shared" si="1"/>
        <v>25.63</v>
      </c>
      <c r="I84" s="301"/>
      <c r="J84" s="301"/>
      <c r="K84" s="301"/>
      <c r="L84" s="301">
        <f>G84*1.266*4.35*1000</f>
        <v>141147</v>
      </c>
      <c r="M84" s="301">
        <f t="shared" si="0"/>
        <v>141147</v>
      </c>
    </row>
    <row r="85" spans="1:19" s="52" customFormat="1" x14ac:dyDescent="0.2">
      <c r="A85" s="102">
        <v>20</v>
      </c>
      <c r="B85" s="100" t="s">
        <v>56</v>
      </c>
      <c r="C85" s="100" t="s">
        <v>98</v>
      </c>
      <c r="D85" s="103"/>
      <c r="E85" s="103"/>
      <c r="F85" s="103"/>
      <c r="G85" s="101">
        <f>G86+G87+G88+G89+G90+G91</f>
        <v>48.93</v>
      </c>
      <c r="H85" s="101">
        <f t="shared" si="1"/>
        <v>48.93</v>
      </c>
      <c r="I85" s="301"/>
      <c r="J85" s="301"/>
      <c r="K85" s="301"/>
      <c r="L85" s="302">
        <f>L86+L87+L88+L89+L90+L91</f>
        <v>604775</v>
      </c>
      <c r="M85" s="301">
        <f t="shared" si="0"/>
        <v>604775</v>
      </c>
    </row>
    <row r="86" spans="1:19" s="130" customFormat="1" ht="25.5" outlineLevel="1" x14ac:dyDescent="0.2">
      <c r="A86" s="131" t="s">
        <v>203</v>
      </c>
      <c r="B86" s="124" t="s">
        <v>191</v>
      </c>
      <c r="C86" s="124" t="s">
        <v>192</v>
      </c>
      <c r="D86" s="125"/>
      <c r="E86" s="125"/>
      <c r="F86" s="125"/>
      <c r="G86" s="144">
        <v>0.91</v>
      </c>
      <c r="H86" s="144">
        <f t="shared" si="1"/>
        <v>0.91</v>
      </c>
      <c r="I86" s="304"/>
      <c r="J86" s="304"/>
      <c r="K86" s="304"/>
      <c r="L86" s="304">
        <f t="shared" ref="L86:L91" si="10">G86*12.36*1000</f>
        <v>11248</v>
      </c>
      <c r="M86" s="301">
        <f t="shared" si="0"/>
        <v>11248</v>
      </c>
    </row>
    <row r="87" spans="1:19" s="130" customFormat="1" ht="25.5" outlineLevel="1" x14ac:dyDescent="0.2">
      <c r="A87" s="131" t="s">
        <v>204</v>
      </c>
      <c r="B87" s="124" t="s">
        <v>193</v>
      </c>
      <c r="C87" s="124" t="s">
        <v>194</v>
      </c>
      <c r="D87" s="125"/>
      <c r="E87" s="125"/>
      <c r="F87" s="125"/>
      <c r="G87" s="144">
        <v>0.56999999999999995</v>
      </c>
      <c r="H87" s="144">
        <f t="shared" si="1"/>
        <v>0.56999999999999995</v>
      </c>
      <c r="I87" s="304"/>
      <c r="J87" s="304"/>
      <c r="K87" s="304"/>
      <c r="L87" s="304">
        <f>G87*12.36*1000+1</f>
        <v>7046</v>
      </c>
      <c r="M87" s="301">
        <f t="shared" si="0"/>
        <v>7046</v>
      </c>
    </row>
    <row r="88" spans="1:19" s="130" customFormat="1" outlineLevel="1" x14ac:dyDescent="0.2">
      <c r="A88" s="131" t="s">
        <v>205</v>
      </c>
      <c r="B88" s="124" t="s">
        <v>195</v>
      </c>
      <c r="C88" s="124" t="s">
        <v>196</v>
      </c>
      <c r="D88" s="125"/>
      <c r="E88" s="125"/>
      <c r="F88" s="125"/>
      <c r="G88" s="144">
        <v>5.99</v>
      </c>
      <c r="H88" s="144">
        <f t="shared" si="1"/>
        <v>5.99</v>
      </c>
      <c r="I88" s="304"/>
      <c r="J88" s="304"/>
      <c r="K88" s="304"/>
      <c r="L88" s="304">
        <f t="shared" si="10"/>
        <v>74036</v>
      </c>
      <c r="M88" s="301">
        <f t="shared" si="0"/>
        <v>74036</v>
      </c>
    </row>
    <row r="89" spans="1:19" s="130" customFormat="1" outlineLevel="1" x14ac:dyDescent="0.2">
      <c r="A89" s="131" t="s">
        <v>206</v>
      </c>
      <c r="B89" s="124" t="s">
        <v>197</v>
      </c>
      <c r="C89" s="124" t="s">
        <v>198</v>
      </c>
      <c r="D89" s="125"/>
      <c r="E89" s="125"/>
      <c r="F89" s="125"/>
      <c r="G89" s="144">
        <v>37.08</v>
      </c>
      <c r="H89" s="144">
        <f t="shared" si="1"/>
        <v>37.08</v>
      </c>
      <c r="I89" s="304"/>
      <c r="J89" s="304"/>
      <c r="K89" s="304"/>
      <c r="L89" s="304">
        <f t="shared" si="10"/>
        <v>458309</v>
      </c>
      <c r="M89" s="301">
        <f t="shared" si="0"/>
        <v>458309</v>
      </c>
    </row>
    <row r="90" spans="1:19" s="130" customFormat="1" outlineLevel="1" x14ac:dyDescent="0.2">
      <c r="A90" s="131" t="s">
        <v>207</v>
      </c>
      <c r="B90" s="124" t="s">
        <v>199</v>
      </c>
      <c r="C90" s="124" t="s">
        <v>200</v>
      </c>
      <c r="D90" s="125"/>
      <c r="E90" s="125"/>
      <c r="F90" s="125"/>
      <c r="G90" s="144">
        <v>2.19</v>
      </c>
      <c r="H90" s="144">
        <f t="shared" si="1"/>
        <v>2.19</v>
      </c>
      <c r="I90" s="304"/>
      <c r="J90" s="304"/>
      <c r="K90" s="304"/>
      <c r="L90" s="304">
        <f t="shared" si="10"/>
        <v>27068</v>
      </c>
      <c r="M90" s="301">
        <f t="shared" si="0"/>
        <v>27068</v>
      </c>
    </row>
    <row r="91" spans="1:19" s="130" customFormat="1" outlineLevel="1" x14ac:dyDescent="0.2">
      <c r="A91" s="131" t="s">
        <v>208</v>
      </c>
      <c r="B91" s="124" t="s">
        <v>201</v>
      </c>
      <c r="C91" s="124" t="s">
        <v>202</v>
      </c>
      <c r="D91" s="125"/>
      <c r="E91" s="125"/>
      <c r="F91" s="125"/>
      <c r="G91" s="144">
        <v>2.19</v>
      </c>
      <c r="H91" s="144">
        <f t="shared" si="1"/>
        <v>2.19</v>
      </c>
      <c r="I91" s="304"/>
      <c r="J91" s="304"/>
      <c r="K91" s="304"/>
      <c r="L91" s="304">
        <f t="shared" si="10"/>
        <v>27068</v>
      </c>
      <c r="M91" s="301">
        <f t="shared" si="0"/>
        <v>27068</v>
      </c>
    </row>
    <row r="92" spans="1:19" s="52" customFormat="1" x14ac:dyDescent="0.2">
      <c r="A92" s="102">
        <v>21</v>
      </c>
      <c r="B92" s="100" t="s">
        <v>57</v>
      </c>
      <c r="C92" s="100" t="s">
        <v>114</v>
      </c>
      <c r="D92" s="103"/>
      <c r="E92" s="103"/>
      <c r="F92" s="103"/>
      <c r="G92" s="96">
        <f>G93+G94</f>
        <v>1597.27</v>
      </c>
      <c r="H92" s="101">
        <f t="shared" si="1"/>
        <v>1597.27</v>
      </c>
      <c r="I92" s="301"/>
      <c r="J92" s="301"/>
      <c r="K92" s="301"/>
      <c r="L92" s="302">
        <f>L93+L94</f>
        <v>8796326</v>
      </c>
      <c r="M92" s="301">
        <f t="shared" si="0"/>
        <v>8796326</v>
      </c>
    </row>
    <row r="93" spans="1:19" s="130" customFormat="1" outlineLevel="1" x14ac:dyDescent="0.2">
      <c r="A93" s="131" t="s">
        <v>213</v>
      </c>
      <c r="B93" s="132" t="s">
        <v>211</v>
      </c>
      <c r="C93" s="133" t="s">
        <v>209</v>
      </c>
      <c r="D93" s="134"/>
      <c r="E93" s="134"/>
      <c r="F93" s="134"/>
      <c r="G93" s="521">
        <v>1487.7</v>
      </c>
      <c r="H93" s="140">
        <f t="shared" si="1"/>
        <v>1487.7</v>
      </c>
      <c r="I93" s="304"/>
      <c r="J93" s="304"/>
      <c r="K93" s="304"/>
      <c r="L93" s="304">
        <f>G93*1.266*4.35*1000</f>
        <v>8192913</v>
      </c>
      <c r="M93" s="301">
        <f t="shared" si="0"/>
        <v>8192913</v>
      </c>
    </row>
    <row r="94" spans="1:19" s="130" customFormat="1" outlineLevel="1" x14ac:dyDescent="0.2">
      <c r="A94" s="131" t="s">
        <v>214</v>
      </c>
      <c r="B94" s="132" t="s">
        <v>212</v>
      </c>
      <c r="C94" s="133" t="s">
        <v>210</v>
      </c>
      <c r="D94" s="134"/>
      <c r="E94" s="134"/>
      <c r="F94" s="134"/>
      <c r="G94" s="521">
        <v>109.57</v>
      </c>
      <c r="H94" s="144">
        <f t="shared" si="1"/>
        <v>109.57</v>
      </c>
      <c r="I94" s="304"/>
      <c r="J94" s="304"/>
      <c r="K94" s="304"/>
      <c r="L94" s="304">
        <f>G94*1.266*4.35*1000</f>
        <v>603413</v>
      </c>
      <c r="M94" s="301">
        <f t="shared" si="0"/>
        <v>603413</v>
      </c>
    </row>
    <row r="95" spans="1:19" s="52" customFormat="1" ht="12.75" customHeight="1" x14ac:dyDescent="0.2">
      <c r="A95" s="104"/>
      <c r="B95" s="667" t="s">
        <v>58</v>
      </c>
      <c r="C95" s="668"/>
      <c r="D95" s="119">
        <f>D79+D80+D81+D82+D83+D84+D85+D92</f>
        <v>43.77</v>
      </c>
      <c r="E95" s="119">
        <f>E79+E80+E81+E82+E83+E84+E85+E92</f>
        <v>4.74</v>
      </c>
      <c r="F95" s="119"/>
      <c r="G95" s="119">
        <f>G79+G80+G81+G82+G83+G84+G85+G92</f>
        <v>2290.11</v>
      </c>
      <c r="H95" s="101">
        <f t="shared" si="1"/>
        <v>2338.62</v>
      </c>
      <c r="I95" s="302">
        <f>I79+I80+I81+I82+I83+I84+I85+I92</f>
        <v>133439</v>
      </c>
      <c r="J95" s="302">
        <f>J79+J80+J81+J82+J83+J84+J85+J92</f>
        <v>0</v>
      </c>
      <c r="K95" s="302"/>
      <c r="L95" s="302">
        <f>L79+L80+L81+L82+L83+L84+L85+L92</f>
        <v>16213489</v>
      </c>
      <c r="M95" s="308">
        <f t="shared" si="0"/>
        <v>16346928</v>
      </c>
    </row>
    <row r="96" spans="1:19" ht="12.75" customHeight="1" x14ac:dyDescent="0.2">
      <c r="A96" s="91"/>
      <c r="B96" s="665" t="s">
        <v>59</v>
      </c>
      <c r="C96" s="666"/>
      <c r="D96" s="81">
        <f>D77+D95</f>
        <v>4980.13</v>
      </c>
      <c r="E96" s="81">
        <f>E77+E95</f>
        <v>952.66</v>
      </c>
      <c r="F96" s="81">
        <f>F77+F95</f>
        <v>9622.15</v>
      </c>
      <c r="G96" s="81">
        <f>G77+G95</f>
        <v>2290.11</v>
      </c>
      <c r="H96" s="94">
        <f t="shared" si="1"/>
        <v>17845.05</v>
      </c>
      <c r="I96" s="306">
        <f>I77+I95</f>
        <v>34703218</v>
      </c>
      <c r="J96" s="306">
        <f>J77+J95</f>
        <v>6636729</v>
      </c>
      <c r="K96" s="306">
        <f>K77+K95</f>
        <v>39354578</v>
      </c>
      <c r="L96" s="306">
        <f>L77+L95</f>
        <v>16213489</v>
      </c>
      <c r="M96" s="308">
        <f t="shared" si="0"/>
        <v>96908014</v>
      </c>
    </row>
    <row r="97" spans="1:16" ht="12.75" customHeight="1" x14ac:dyDescent="0.2">
      <c r="A97" s="663" t="s">
        <v>60</v>
      </c>
      <c r="B97" s="664"/>
      <c r="C97" s="664"/>
      <c r="D97" s="664"/>
      <c r="E97" s="664"/>
      <c r="F97" s="664"/>
      <c r="G97" s="664"/>
      <c r="H97" s="664"/>
      <c r="I97" s="308"/>
      <c r="J97" s="308"/>
      <c r="K97" s="308"/>
      <c r="L97" s="308"/>
      <c r="M97" s="308">
        <f t="shared" si="0"/>
        <v>0</v>
      </c>
    </row>
    <row r="98" spans="1:16" ht="25.5" x14ac:dyDescent="0.2">
      <c r="A98" s="87">
        <v>22</v>
      </c>
      <c r="B98" s="93" t="s">
        <v>61</v>
      </c>
      <c r="C98" s="93" t="s">
        <v>62</v>
      </c>
      <c r="D98" s="89"/>
      <c r="E98" s="89"/>
      <c r="F98" s="89"/>
      <c r="G98" s="217">
        <f>(H96+H106)*1.72%*0</f>
        <v>0</v>
      </c>
      <c r="H98" s="81">
        <f t="shared" si="1"/>
        <v>0</v>
      </c>
      <c r="I98" s="308"/>
      <c r="J98" s="308"/>
      <c r="K98" s="308"/>
      <c r="L98" s="308">
        <f>G98*10.79*1000</f>
        <v>0</v>
      </c>
      <c r="M98" s="308">
        <f t="shared" si="0"/>
        <v>0</v>
      </c>
    </row>
    <row r="99" spans="1:16" ht="27.95" customHeight="1" x14ac:dyDescent="0.2">
      <c r="A99" s="91"/>
      <c r="B99" s="665" t="s">
        <v>63</v>
      </c>
      <c r="C99" s="666"/>
      <c r="D99" s="89"/>
      <c r="E99" s="89"/>
      <c r="F99" s="89"/>
      <c r="G99" s="81">
        <f>G98</f>
        <v>0</v>
      </c>
      <c r="H99" s="81">
        <f t="shared" si="1"/>
        <v>0</v>
      </c>
      <c r="I99" s="308"/>
      <c r="J99" s="308"/>
      <c r="K99" s="308"/>
      <c r="L99" s="306">
        <f>L98</f>
        <v>0</v>
      </c>
      <c r="M99" s="308">
        <f t="shared" si="0"/>
        <v>0</v>
      </c>
    </row>
    <row r="100" spans="1:16" ht="17.25" customHeight="1" x14ac:dyDescent="0.2">
      <c r="A100" s="663" t="s">
        <v>94</v>
      </c>
      <c r="B100" s="664"/>
      <c r="C100" s="664"/>
      <c r="D100" s="664"/>
      <c r="E100" s="664"/>
      <c r="F100" s="664"/>
      <c r="G100" s="664"/>
      <c r="H100" s="664"/>
      <c r="I100" s="308"/>
      <c r="J100" s="308"/>
      <c r="K100" s="308"/>
      <c r="L100" s="308"/>
      <c r="M100" s="308">
        <f t="shared" si="0"/>
        <v>0</v>
      </c>
    </row>
    <row r="101" spans="1:16" ht="15" x14ac:dyDescent="0.2">
      <c r="A101" s="87">
        <v>23</v>
      </c>
      <c r="B101" s="93" t="s">
        <v>64</v>
      </c>
      <c r="C101" s="93" t="s">
        <v>117</v>
      </c>
      <c r="D101" s="89"/>
      <c r="E101" s="89"/>
      <c r="F101" s="103"/>
      <c r="G101" s="522">
        <f>920.93*0</f>
        <v>0</v>
      </c>
      <c r="H101" s="101">
        <f t="shared" si="1"/>
        <v>0</v>
      </c>
      <c r="I101" s="308"/>
      <c r="J101" s="308"/>
      <c r="K101" s="308"/>
      <c r="L101" s="308">
        <f>G101*1.266*4.35*1000</f>
        <v>0</v>
      </c>
      <c r="M101" s="308">
        <f t="shared" si="0"/>
        <v>0</v>
      </c>
    </row>
    <row r="102" spans="1:16" ht="15" x14ac:dyDescent="0.2">
      <c r="A102" s="87">
        <v>24</v>
      </c>
      <c r="B102" s="93" t="s">
        <v>65</v>
      </c>
      <c r="C102" s="93" t="s">
        <v>118</v>
      </c>
      <c r="D102" s="89"/>
      <c r="E102" s="89"/>
      <c r="F102" s="103"/>
      <c r="G102" s="522">
        <f>346.55*0</f>
        <v>0</v>
      </c>
      <c r="H102" s="101">
        <f t="shared" si="1"/>
        <v>0</v>
      </c>
      <c r="I102" s="309"/>
      <c r="J102" s="308"/>
      <c r="K102" s="308"/>
      <c r="L102" s="308">
        <f>G102*1.19*4.27*1000</f>
        <v>0</v>
      </c>
      <c r="M102" s="308">
        <f t="shared" si="0"/>
        <v>0</v>
      </c>
    </row>
    <row r="103" spans="1:16" x14ac:dyDescent="0.2">
      <c r="A103" s="87">
        <v>25</v>
      </c>
      <c r="B103" s="93" t="s">
        <v>66</v>
      </c>
      <c r="C103" s="93" t="s">
        <v>119</v>
      </c>
      <c r="D103" s="89"/>
      <c r="E103" s="89"/>
      <c r="F103" s="103"/>
      <c r="G103" s="101">
        <v>400.04</v>
      </c>
      <c r="H103" s="101">
        <f t="shared" si="1"/>
        <v>400.04</v>
      </c>
      <c r="I103" s="308"/>
      <c r="J103" s="308"/>
      <c r="K103" s="308"/>
      <c r="L103" s="308">
        <f>G103*1.19*4.27*1000</f>
        <v>2032723</v>
      </c>
      <c r="M103" s="301">
        <f t="shared" si="0"/>
        <v>2032723</v>
      </c>
    </row>
    <row r="104" spans="1:16" ht="15" x14ac:dyDescent="0.2">
      <c r="A104" s="87">
        <v>26</v>
      </c>
      <c r="B104" s="93" t="s">
        <v>99</v>
      </c>
      <c r="C104" s="93" t="s">
        <v>92</v>
      </c>
      <c r="D104" s="89"/>
      <c r="E104" s="89"/>
      <c r="F104" s="89"/>
      <c r="G104" s="217">
        <f>150.58*0</f>
        <v>0</v>
      </c>
      <c r="H104" s="81">
        <f t="shared" si="1"/>
        <v>0</v>
      </c>
      <c r="I104" s="308"/>
      <c r="J104" s="308"/>
      <c r="K104" s="308"/>
      <c r="L104" s="308">
        <f>G123/1.02*1000</f>
        <v>0</v>
      </c>
      <c r="M104" s="308">
        <f t="shared" si="0"/>
        <v>0</v>
      </c>
    </row>
    <row r="105" spans="1:16" s="534" customFormat="1" x14ac:dyDescent="0.2">
      <c r="A105" s="530"/>
      <c r="B105" s="531"/>
      <c r="C105" s="531" t="s">
        <v>1415</v>
      </c>
      <c r="D105" s="532"/>
      <c r="E105" s="532"/>
      <c r="F105" s="532"/>
      <c r="G105" s="533">
        <f>'ССР EL3'!J66*0</f>
        <v>0</v>
      </c>
      <c r="H105" s="533">
        <f t="shared" si="1"/>
        <v>0</v>
      </c>
      <c r="L105" s="535">
        <f>'ССР EL3'!M86*1000*0</f>
        <v>0</v>
      </c>
      <c r="M105" s="535">
        <f>SUM(I105:L105)</f>
        <v>0</v>
      </c>
    </row>
    <row r="106" spans="1:16" ht="105" customHeight="1" x14ac:dyDescent="0.2">
      <c r="A106" s="91"/>
      <c r="B106" s="665" t="s">
        <v>67</v>
      </c>
      <c r="C106" s="666"/>
      <c r="D106" s="89"/>
      <c r="E106" s="89"/>
      <c r="F106" s="89"/>
      <c r="G106" s="81">
        <f>G101+G102+G103+G104+G105</f>
        <v>400.04</v>
      </c>
      <c r="H106" s="81">
        <f t="shared" si="1"/>
        <v>400.04</v>
      </c>
      <c r="I106" s="307"/>
      <c r="J106" s="307"/>
      <c r="K106" s="307"/>
      <c r="L106" s="302">
        <f>L101+L102+L103+L104+L105</f>
        <v>2032723</v>
      </c>
      <c r="M106" s="308">
        <f t="shared" si="0"/>
        <v>2032723</v>
      </c>
    </row>
    <row r="107" spans="1:16" s="52" customFormat="1" ht="12.75" customHeight="1" x14ac:dyDescent="0.2">
      <c r="A107" s="91"/>
      <c r="B107" s="665" t="s">
        <v>68</v>
      </c>
      <c r="C107" s="666"/>
      <c r="D107" s="81">
        <f>D96+D99+D106</f>
        <v>4980.13</v>
      </c>
      <c r="E107" s="81">
        <f>E96+E99+E106</f>
        <v>952.66</v>
      </c>
      <c r="F107" s="81">
        <f>F96+F99+F106</f>
        <v>9622.15</v>
      </c>
      <c r="G107" s="81">
        <f>G96+G99+G106</f>
        <v>2690.15</v>
      </c>
      <c r="H107" s="94">
        <f t="shared" si="1"/>
        <v>18245.09</v>
      </c>
      <c r="I107" s="306">
        <f>I96+I99+I106</f>
        <v>34703218</v>
      </c>
      <c r="J107" s="306">
        <f>J96+J99+J106</f>
        <v>6636729</v>
      </c>
      <c r="K107" s="306">
        <f>K96+K99+K106</f>
        <v>39354578</v>
      </c>
      <c r="L107" s="306">
        <f>L96+L99+L106</f>
        <v>18246212</v>
      </c>
      <c r="M107" s="308">
        <f t="shared" si="0"/>
        <v>98940737</v>
      </c>
    </row>
    <row r="108" spans="1:16" ht="12.75" customHeight="1" x14ac:dyDescent="0.2">
      <c r="A108" s="663" t="s">
        <v>69</v>
      </c>
      <c r="B108" s="664"/>
      <c r="C108" s="664"/>
      <c r="D108" s="664"/>
      <c r="E108" s="664"/>
      <c r="F108" s="664"/>
      <c r="G108" s="664"/>
      <c r="H108" s="664"/>
      <c r="I108" s="308"/>
      <c r="J108" s="308"/>
      <c r="K108" s="308"/>
      <c r="L108" s="308"/>
      <c r="M108" s="308">
        <f t="shared" si="0"/>
        <v>0</v>
      </c>
    </row>
    <row r="109" spans="1:16" ht="25.5" x14ac:dyDescent="0.2">
      <c r="A109" s="87">
        <v>27</v>
      </c>
      <c r="B109" s="93" t="s">
        <v>70</v>
      </c>
      <c r="C109" s="93" t="s">
        <v>90</v>
      </c>
      <c r="D109" s="81">
        <f>D107*2%</f>
        <v>99.6</v>
      </c>
      <c r="E109" s="81">
        <f>E107*2%</f>
        <v>19.05</v>
      </c>
      <c r="F109" s="81">
        <f>F107*2%</f>
        <v>192.44</v>
      </c>
      <c r="G109" s="81">
        <f>G107*2%</f>
        <v>53.8</v>
      </c>
      <c r="H109" s="81">
        <v>1503.14</v>
      </c>
      <c r="I109" s="302">
        <f>(I107+D74*15%*6.99*1000)*2%</f>
        <v>696222</v>
      </c>
      <c r="J109" s="302">
        <f>(J107+E74*15%*6.99*1000)*2%</f>
        <v>133181</v>
      </c>
      <c r="K109" s="306">
        <f>K107*2%</f>
        <v>787092</v>
      </c>
      <c r="L109" s="306">
        <f>L107*2%</f>
        <v>364924</v>
      </c>
      <c r="M109" s="308">
        <f t="shared" si="0"/>
        <v>1981419</v>
      </c>
      <c r="O109" s="92">
        <v>1978816</v>
      </c>
      <c r="P109" s="327">
        <f>M109-O109</f>
        <v>2603</v>
      </c>
    </row>
    <row r="110" spans="1:16" ht="12.75" customHeight="1" x14ac:dyDescent="0.2">
      <c r="A110" s="91"/>
      <c r="B110" s="665" t="s">
        <v>71</v>
      </c>
      <c r="C110" s="666"/>
      <c r="D110" s="81">
        <f>D109</f>
        <v>99.6</v>
      </c>
      <c r="E110" s="81">
        <f>E109</f>
        <v>19.05</v>
      </c>
      <c r="F110" s="81">
        <f>F109</f>
        <v>192.44</v>
      </c>
      <c r="G110" s="81">
        <f>G109</f>
        <v>53.8</v>
      </c>
      <c r="H110" s="81">
        <v>1503.14</v>
      </c>
      <c r="I110" s="306">
        <f>I109</f>
        <v>696222</v>
      </c>
      <c r="J110" s="306">
        <f>J109</f>
        <v>133181</v>
      </c>
      <c r="K110" s="306">
        <f>K109</f>
        <v>787092</v>
      </c>
      <c r="L110" s="306">
        <f>L109</f>
        <v>364924</v>
      </c>
      <c r="M110" s="308">
        <f t="shared" si="0"/>
        <v>1981419</v>
      </c>
    </row>
    <row r="111" spans="1:16" ht="12.75" customHeight="1" x14ac:dyDescent="0.2">
      <c r="A111" s="91"/>
      <c r="B111" s="665" t="s">
        <v>91</v>
      </c>
      <c r="C111" s="666"/>
      <c r="D111" s="119">
        <f>D107+D110</f>
        <v>5079.7299999999996</v>
      </c>
      <c r="E111" s="119">
        <f>E107+E110</f>
        <v>971.71</v>
      </c>
      <c r="F111" s="119">
        <f>F107+F110</f>
        <v>9814.59</v>
      </c>
      <c r="G111" s="119">
        <f>G107+G110</f>
        <v>2743.95</v>
      </c>
      <c r="H111" s="119">
        <f>SUM(D111:G111)</f>
        <v>18609.98</v>
      </c>
      <c r="I111" s="302">
        <f>I107+I110</f>
        <v>35399440</v>
      </c>
      <c r="J111" s="302">
        <f>J107+J110</f>
        <v>6769910</v>
      </c>
      <c r="K111" s="302">
        <f>K107+K110</f>
        <v>40141670</v>
      </c>
      <c r="L111" s="302">
        <f>L107+L110</f>
        <v>18611136</v>
      </c>
      <c r="M111" s="308">
        <f t="shared" si="0"/>
        <v>100922156</v>
      </c>
    </row>
    <row r="112" spans="1:16" ht="148.5" customHeight="1" x14ac:dyDescent="0.2">
      <c r="A112" s="28"/>
      <c r="B112" s="653" t="s">
        <v>89</v>
      </c>
      <c r="C112" s="654"/>
      <c r="D112" s="29"/>
      <c r="E112" s="29"/>
      <c r="F112" s="29"/>
      <c r="G112" s="29"/>
      <c r="H112" s="29"/>
      <c r="I112" s="301"/>
      <c r="J112" s="301"/>
      <c r="K112" s="301"/>
      <c r="L112" s="301"/>
      <c r="M112" s="308">
        <f t="shared" si="0"/>
        <v>0</v>
      </c>
    </row>
    <row r="113" spans="1:19" ht="17.25" customHeight="1" x14ac:dyDescent="0.2">
      <c r="A113" s="28">
        <v>28</v>
      </c>
      <c r="B113" s="30"/>
      <c r="C113" s="30" t="s">
        <v>115</v>
      </c>
      <c r="D113" s="36">
        <f>D111*6.99</f>
        <v>35507.31</v>
      </c>
      <c r="E113" s="31"/>
      <c r="F113" s="31"/>
      <c r="G113" s="32"/>
      <c r="H113" s="36">
        <f>SUM(D113:G113)</f>
        <v>35507.31</v>
      </c>
      <c r="I113" s="308"/>
      <c r="J113" s="308"/>
      <c r="K113" s="308"/>
      <c r="L113" s="308"/>
      <c r="M113" s="308">
        <f t="shared" si="0"/>
        <v>0</v>
      </c>
    </row>
    <row r="114" spans="1:19" ht="17.25" customHeight="1" x14ac:dyDescent="0.2">
      <c r="A114" s="28">
        <v>29</v>
      </c>
      <c r="B114" s="30"/>
      <c r="C114" s="30" t="s">
        <v>108</v>
      </c>
      <c r="D114" s="31"/>
      <c r="E114" s="36">
        <f>E111*6.99</f>
        <v>6792.25</v>
      </c>
      <c r="F114" s="31"/>
      <c r="G114" s="32"/>
      <c r="H114" s="36">
        <f>SUM(D114:G114)</f>
        <v>6792.25</v>
      </c>
      <c r="I114" s="308"/>
      <c r="J114" s="308"/>
      <c r="K114" s="308"/>
      <c r="L114" s="308"/>
      <c r="M114" s="308">
        <f t="shared" si="0"/>
        <v>0</v>
      </c>
    </row>
    <row r="115" spans="1:19" ht="18" customHeight="1" x14ac:dyDescent="0.2">
      <c r="A115" s="28">
        <v>30</v>
      </c>
      <c r="B115" s="30"/>
      <c r="C115" s="30" t="s">
        <v>109</v>
      </c>
      <c r="D115" s="31"/>
      <c r="E115" s="31"/>
      <c r="F115" s="36">
        <f>F111*4.09</f>
        <v>40141.67</v>
      </c>
      <c r="G115" s="32"/>
      <c r="H115" s="36">
        <f>SUM(D115:G115)</f>
        <v>40141.67</v>
      </c>
      <c r="I115" s="308"/>
      <c r="J115" s="308"/>
      <c r="K115" s="308"/>
      <c r="L115" s="308"/>
      <c r="M115" s="308">
        <f t="shared" si="0"/>
        <v>0</v>
      </c>
    </row>
    <row r="116" spans="1:19" ht="13.5" customHeight="1" x14ac:dyDescent="0.2">
      <c r="A116" s="28">
        <v>31</v>
      </c>
      <c r="B116" s="34"/>
      <c r="C116" s="34" t="s">
        <v>100</v>
      </c>
      <c r="D116" s="31"/>
      <c r="E116" s="31"/>
      <c r="F116" s="31"/>
      <c r="G116" s="33">
        <f>G85*1.02*12.36</f>
        <v>616.87</v>
      </c>
      <c r="H116" s="36">
        <f>SUM(D116:G116)</f>
        <v>616.87</v>
      </c>
      <c r="I116" s="308"/>
      <c r="J116" s="308"/>
      <c r="K116" s="308"/>
      <c r="L116" s="308"/>
      <c r="M116" s="308">
        <f t="shared" si="0"/>
        <v>0</v>
      </c>
    </row>
    <row r="117" spans="1:19" ht="25.5" x14ac:dyDescent="0.2">
      <c r="A117" s="28">
        <v>32</v>
      </c>
      <c r="B117" s="93"/>
      <c r="C117" s="93" t="s">
        <v>121</v>
      </c>
      <c r="D117" s="95"/>
      <c r="E117" s="95"/>
      <c r="F117" s="95"/>
      <c r="G117" s="528">
        <f>G28*10.79*1.02+G29*1.266*4.35*1.02</f>
        <v>0</v>
      </c>
      <c r="H117" s="36">
        <f>SUM(D117:G117)</f>
        <v>0</v>
      </c>
      <c r="I117" s="310"/>
      <c r="J117" s="310"/>
      <c r="K117" s="310"/>
      <c r="L117" s="310"/>
      <c r="M117" s="308">
        <f t="shared" si="0"/>
        <v>0</v>
      </c>
      <c r="N117" s="52"/>
      <c r="O117" s="52"/>
      <c r="P117" s="52"/>
      <c r="Q117" s="52"/>
      <c r="R117" s="52"/>
      <c r="S117" s="52"/>
    </row>
    <row r="118" spans="1:19" ht="38.25" x14ac:dyDescent="0.2">
      <c r="A118" s="28">
        <v>33</v>
      </c>
      <c r="B118" s="93"/>
      <c r="C118" s="93" t="s">
        <v>122</v>
      </c>
      <c r="D118" s="95"/>
      <c r="E118" s="95"/>
      <c r="F118" s="95"/>
      <c r="G118" s="96">
        <f>(G80+G82+G83)*10.79*1.02+(H84+H92)*1.266*4.35*1.02</f>
        <v>15920.89</v>
      </c>
      <c r="H118" s="36">
        <f t="shared" ref="H118:H123" si="11">SUM(D118:G118)</f>
        <v>15920.89</v>
      </c>
      <c r="I118" s="310"/>
      <c r="J118" s="310"/>
      <c r="K118" s="310"/>
      <c r="L118" s="310"/>
      <c r="M118" s="308">
        <f t="shared" si="0"/>
        <v>0</v>
      </c>
      <c r="N118" s="52"/>
      <c r="O118" s="52"/>
      <c r="P118" s="52"/>
      <c r="Q118" s="52"/>
      <c r="R118" s="52"/>
      <c r="S118" s="52"/>
    </row>
    <row r="119" spans="1:19" ht="17.25" customHeight="1" x14ac:dyDescent="0.2">
      <c r="A119" s="28">
        <v>34</v>
      </c>
      <c r="B119" s="93"/>
      <c r="C119" s="100" t="s">
        <v>123</v>
      </c>
      <c r="D119" s="97"/>
      <c r="E119" s="97"/>
      <c r="F119" s="97"/>
      <c r="G119" s="528">
        <f>H98*10.79*1.02</f>
        <v>0</v>
      </c>
      <c r="H119" s="36">
        <f t="shared" si="11"/>
        <v>0</v>
      </c>
      <c r="I119" s="310"/>
      <c r="J119" s="303"/>
      <c r="K119" s="310"/>
      <c r="L119" s="310"/>
      <c r="M119" s="308">
        <f t="shared" si="0"/>
        <v>0</v>
      </c>
      <c r="N119" s="52"/>
      <c r="O119" s="52"/>
      <c r="P119" s="52"/>
      <c r="Q119" s="52"/>
      <c r="R119" s="52"/>
      <c r="S119" s="52"/>
    </row>
    <row r="120" spans="1:19" ht="15.75" customHeight="1" x14ac:dyDescent="0.2">
      <c r="A120" s="28">
        <v>35</v>
      </c>
      <c r="B120" s="34"/>
      <c r="C120" s="34" t="s">
        <v>124</v>
      </c>
      <c r="D120" s="31"/>
      <c r="E120" s="31"/>
      <c r="F120" s="31"/>
      <c r="G120" s="529">
        <f xml:space="preserve"> H101*1.02*1.266*4.35</f>
        <v>0</v>
      </c>
      <c r="H120" s="36">
        <f t="shared" si="11"/>
        <v>0</v>
      </c>
      <c r="I120" s="308"/>
      <c r="J120" s="308"/>
      <c r="K120" s="308"/>
      <c r="L120" s="308"/>
      <c r="M120" s="308">
        <f t="shared" si="0"/>
        <v>0</v>
      </c>
    </row>
    <row r="121" spans="1:19" ht="15.75" customHeight="1" x14ac:dyDescent="0.2">
      <c r="A121" s="28">
        <v>36</v>
      </c>
      <c r="B121" s="34"/>
      <c r="C121" s="34" t="s">
        <v>125</v>
      </c>
      <c r="D121" s="31"/>
      <c r="E121" s="31"/>
      <c r="F121" s="31"/>
      <c r="G121" s="529">
        <f>H102*1.19*4.27*1.02</f>
        <v>0</v>
      </c>
      <c r="H121" s="36">
        <f t="shared" si="11"/>
        <v>0</v>
      </c>
      <c r="I121" s="308"/>
      <c r="J121" s="308"/>
      <c r="K121" s="308"/>
      <c r="L121" s="308"/>
      <c r="M121" s="308">
        <f t="shared" si="0"/>
        <v>0</v>
      </c>
    </row>
    <row r="122" spans="1:19" x14ac:dyDescent="0.2">
      <c r="A122" s="28">
        <v>37</v>
      </c>
      <c r="B122" s="93"/>
      <c r="C122" s="93" t="s">
        <v>126</v>
      </c>
      <c r="D122" s="95"/>
      <c r="E122" s="95"/>
      <c r="F122" s="95"/>
      <c r="G122" s="97">
        <f>G103*1.19*4.27*1.02</f>
        <v>2073.38</v>
      </c>
      <c r="H122" s="95">
        <f>SUM(D122:G122)</f>
        <v>2073.38</v>
      </c>
      <c r="I122" s="310"/>
      <c r="J122" s="310"/>
      <c r="K122" s="310"/>
      <c r="L122" s="310"/>
      <c r="M122" s="308">
        <f t="shared" si="0"/>
        <v>0</v>
      </c>
      <c r="N122" s="52"/>
      <c r="O122" s="98"/>
      <c r="P122" s="52"/>
      <c r="Q122" s="52"/>
      <c r="R122" s="52"/>
      <c r="S122" s="52"/>
    </row>
    <row r="123" spans="1:19" ht="18" customHeight="1" x14ac:dyDescent="0.2">
      <c r="A123" s="28">
        <v>38</v>
      </c>
      <c r="B123" s="34"/>
      <c r="C123" s="34" t="s">
        <v>120</v>
      </c>
      <c r="D123" s="31"/>
      <c r="E123" s="31"/>
      <c r="F123" s="31"/>
      <c r="G123" s="33">
        <f>1011.72*0</f>
        <v>0</v>
      </c>
      <c r="H123" s="36">
        <f t="shared" si="11"/>
        <v>0</v>
      </c>
      <c r="I123" s="308"/>
      <c r="J123" s="308"/>
      <c r="K123" s="308"/>
      <c r="L123" s="308"/>
      <c r="M123" s="308">
        <f t="shared" si="0"/>
        <v>0</v>
      </c>
    </row>
    <row r="124" spans="1:19" s="534" customFormat="1" ht="18" customHeight="1" x14ac:dyDescent="0.2">
      <c r="A124" s="536"/>
      <c r="B124" s="537"/>
      <c r="C124" s="537" t="s">
        <v>1415</v>
      </c>
      <c r="D124" s="538"/>
      <c r="E124" s="538"/>
      <c r="F124" s="538"/>
      <c r="G124" s="539">
        <f>'ССР EL3'!M86*1.02*0</f>
        <v>0</v>
      </c>
      <c r="H124" s="540">
        <f>SUM(D124:G124)</f>
        <v>0</v>
      </c>
      <c r="I124" s="541"/>
      <c r="J124" s="541"/>
      <c r="K124" s="541"/>
      <c r="L124" s="541"/>
      <c r="M124" s="541"/>
    </row>
    <row r="125" spans="1:19" ht="36.75" customHeight="1" x14ac:dyDescent="0.2">
      <c r="A125" s="28"/>
      <c r="B125" s="655" t="s">
        <v>93</v>
      </c>
      <c r="C125" s="656"/>
      <c r="D125" s="37">
        <f>SUM(D113:D123)</f>
        <v>35507.31</v>
      </c>
      <c r="E125" s="37">
        <f>SUM(E113:E123)</f>
        <v>6792.25</v>
      </c>
      <c r="F125" s="37">
        <f>SUM(F113:F123)</f>
        <v>40141.67</v>
      </c>
      <c r="G125" s="37">
        <f>SUM(G113:G124)</f>
        <v>18611.14</v>
      </c>
      <c r="H125" s="37">
        <f>SUM(D125:G125)</f>
        <v>101052.37</v>
      </c>
      <c r="I125" s="308">
        <f>I111</f>
        <v>35399440</v>
      </c>
      <c r="J125" s="308">
        <f>J111</f>
        <v>6769910</v>
      </c>
      <c r="K125" s="308">
        <f>K111</f>
        <v>40141670</v>
      </c>
      <c r="L125" s="308">
        <f>L111</f>
        <v>18611136</v>
      </c>
      <c r="M125" s="308">
        <f>SUM(I125:L125)</f>
        <v>100922156</v>
      </c>
    </row>
    <row r="126" spans="1:19" ht="15" customHeight="1" x14ac:dyDescent="0.2">
      <c r="A126" s="28">
        <v>39</v>
      </c>
      <c r="B126" s="34" t="s">
        <v>72</v>
      </c>
      <c r="C126" s="34" t="s">
        <v>75</v>
      </c>
      <c r="D126" s="37">
        <f>D125*20%</f>
        <v>7101.46</v>
      </c>
      <c r="E126" s="37">
        <f>E125*20%</f>
        <v>1358.45</v>
      </c>
      <c r="F126" s="37">
        <f>F125*20%</f>
        <v>8028.33</v>
      </c>
      <c r="G126" s="37">
        <f>G125*20%</f>
        <v>3722.23</v>
      </c>
      <c r="H126" s="37">
        <f>SUM(D126:G126)</f>
        <v>20210.47</v>
      </c>
      <c r="I126" s="37">
        <f>I125*20%</f>
        <v>7079888</v>
      </c>
      <c r="J126" s="37">
        <f>J125*20%</f>
        <v>1353982</v>
      </c>
      <c r="K126" s="37">
        <f>K125*20%</f>
        <v>8028334</v>
      </c>
      <c r="L126" s="37">
        <f>L125*20%</f>
        <v>3722227.2</v>
      </c>
      <c r="M126" s="123">
        <f t="shared" si="0"/>
        <v>20184431.199999999</v>
      </c>
    </row>
    <row r="127" spans="1:19" ht="27" customHeight="1" x14ac:dyDescent="0.2">
      <c r="A127" s="38"/>
      <c r="B127" s="655" t="s">
        <v>87</v>
      </c>
      <c r="C127" s="657"/>
      <c r="D127" s="523">
        <f>SUM(D125:D126)</f>
        <v>42608.77</v>
      </c>
      <c r="E127" s="523">
        <f>SUM(E125:E126)</f>
        <v>8150.7</v>
      </c>
      <c r="F127" s="523">
        <f>SUM(F125:F126)</f>
        <v>48170</v>
      </c>
      <c r="G127" s="523">
        <f>SUM(G125:G126)</f>
        <v>22333.37</v>
      </c>
      <c r="H127" s="523">
        <f>SUM(D127:G127)</f>
        <v>121262.84</v>
      </c>
      <c r="I127" s="523">
        <f>SUM(I125:I126)</f>
        <v>42479328</v>
      </c>
      <c r="J127" s="523">
        <f>SUM(J125:J126)</f>
        <v>8123892</v>
      </c>
      <c r="K127" s="523">
        <f>SUM(K125:K126)</f>
        <v>48170004</v>
      </c>
      <c r="L127" s="523">
        <f>SUM(L125:L126)</f>
        <v>22333363.199999999</v>
      </c>
      <c r="M127" s="123">
        <f>SUM(I127:L127)</f>
        <v>121106587.2</v>
      </c>
    </row>
    <row r="128" spans="1:19" s="58" customFormat="1" ht="25.5" x14ac:dyDescent="0.2">
      <c r="A128" s="54"/>
      <c r="B128" s="55"/>
      <c r="C128" s="55" t="s">
        <v>95</v>
      </c>
      <c r="D128" s="524"/>
      <c r="E128" s="524"/>
      <c r="F128" s="524"/>
      <c r="G128" s="525"/>
      <c r="H128" s="524"/>
      <c r="I128" s="526"/>
      <c r="J128" s="526"/>
      <c r="K128" s="526"/>
      <c r="L128" s="526"/>
      <c r="M128" s="123">
        <f>SUM(I128:L128)</f>
        <v>0</v>
      </c>
    </row>
    <row r="129" spans="1:13" s="58" customFormat="1" x14ac:dyDescent="0.2">
      <c r="A129" s="54"/>
      <c r="B129" s="55"/>
      <c r="C129" s="55" t="s">
        <v>128</v>
      </c>
      <c r="D129" s="524"/>
      <c r="E129" s="524"/>
      <c r="F129" s="524"/>
      <c r="G129" s="524">
        <f>G101+G102+G103</f>
        <v>400.04</v>
      </c>
      <c r="H129" s="524">
        <f>G129</f>
        <v>400.04</v>
      </c>
      <c r="I129" s="526"/>
      <c r="J129" s="526"/>
      <c r="K129" s="526"/>
      <c r="L129" s="526"/>
      <c r="M129" s="123">
        <f>SUM(I129:L129)</f>
        <v>0</v>
      </c>
    </row>
    <row r="130" spans="1:13" s="58" customFormat="1" x14ac:dyDescent="0.2">
      <c r="A130" s="54"/>
      <c r="B130" s="55"/>
      <c r="C130" s="55" t="s">
        <v>129</v>
      </c>
      <c r="D130" s="524"/>
      <c r="E130" s="524"/>
      <c r="F130" s="524"/>
      <c r="G130" s="524">
        <f>(G120+G121+G122)/1.02</f>
        <v>2032.73</v>
      </c>
      <c r="H130" s="524">
        <f>G130</f>
        <v>2032.73</v>
      </c>
      <c r="I130" s="526"/>
      <c r="J130" s="526"/>
      <c r="K130" s="526"/>
      <c r="L130" s="526"/>
      <c r="M130" s="123">
        <f>SUM(I130:L130)</f>
        <v>0</v>
      </c>
    </row>
    <row r="131" spans="1:13" hidden="1" x14ac:dyDescent="0.2">
      <c r="A131" s="25"/>
      <c r="B131" s="26"/>
      <c r="C131" s="26"/>
      <c r="D131" s="39"/>
      <c r="E131" s="39"/>
      <c r="F131" s="39"/>
      <c r="G131" s="39"/>
      <c r="H131" s="39"/>
    </row>
    <row r="132" spans="1:13" x14ac:dyDescent="0.2">
      <c r="A132" s="25"/>
      <c r="B132" s="26"/>
      <c r="C132" s="26"/>
      <c r="D132" s="39"/>
      <c r="E132" s="39"/>
      <c r="F132" s="39"/>
      <c r="G132" s="39"/>
      <c r="H132" s="39"/>
    </row>
    <row r="133" spans="1:13" x14ac:dyDescent="0.2">
      <c r="A133" s="25"/>
      <c r="B133" s="27"/>
      <c r="C133" s="658" t="s">
        <v>76</v>
      </c>
      <c r="D133" s="658"/>
      <c r="E133" s="40"/>
      <c r="F133" s="40"/>
      <c r="G133" s="659" t="s">
        <v>77</v>
      </c>
      <c r="H133" s="659"/>
    </row>
    <row r="134" spans="1:13" x14ac:dyDescent="0.2">
      <c r="A134" s="25"/>
      <c r="B134" s="41"/>
      <c r="C134" s="42" t="s">
        <v>78</v>
      </c>
      <c r="D134" s="43"/>
      <c r="E134" s="116" t="s">
        <v>79</v>
      </c>
      <c r="F134" s="45"/>
      <c r="G134" s="652" t="s">
        <v>80</v>
      </c>
      <c r="H134" s="652"/>
    </row>
    <row r="135" spans="1:13" x14ac:dyDescent="0.2">
      <c r="A135" s="25"/>
      <c r="B135" s="41"/>
      <c r="C135" s="42"/>
      <c r="D135" s="43"/>
      <c r="E135" s="116"/>
      <c r="F135" s="45"/>
      <c r="G135" s="116"/>
      <c r="H135" s="116"/>
    </row>
    <row r="136" spans="1:13" x14ac:dyDescent="0.2">
      <c r="A136" s="25"/>
      <c r="B136" s="41"/>
      <c r="C136" s="42"/>
      <c r="D136" s="43"/>
      <c r="E136" s="116"/>
      <c r="F136" s="45"/>
      <c r="G136" s="116"/>
      <c r="H136" s="116"/>
    </row>
    <row r="137" spans="1:13" x14ac:dyDescent="0.2">
      <c r="A137" s="25"/>
      <c r="B137" s="41"/>
      <c r="C137" s="42"/>
      <c r="D137" s="43"/>
      <c r="E137" s="116"/>
      <c r="F137" s="45"/>
      <c r="G137" s="116"/>
      <c r="H137" s="116"/>
    </row>
    <row r="138" spans="1:13" x14ac:dyDescent="0.2">
      <c r="A138" s="25"/>
      <c r="B138" s="27"/>
      <c r="C138" s="46"/>
      <c r="D138" s="47"/>
      <c r="E138" s="48"/>
      <c r="F138" s="48"/>
      <c r="G138" s="48"/>
      <c r="H138" s="48"/>
    </row>
    <row r="139" spans="1:13" x14ac:dyDescent="0.2">
      <c r="A139" s="25"/>
      <c r="B139" s="27" t="s">
        <v>81</v>
      </c>
      <c r="C139" s="115" t="s">
        <v>82</v>
      </c>
      <c r="D139" s="47"/>
      <c r="E139" s="48"/>
      <c r="F139" s="48"/>
      <c r="G139" s="48"/>
      <c r="H139" s="48"/>
    </row>
    <row r="140" spans="1:13" x14ac:dyDescent="0.2">
      <c r="A140" s="25"/>
      <c r="B140" s="27"/>
      <c r="C140" s="660" t="s">
        <v>83</v>
      </c>
      <c r="D140" s="660"/>
      <c r="E140" s="40"/>
      <c r="F140" s="40"/>
      <c r="G140" s="661" t="s">
        <v>84</v>
      </c>
      <c r="H140" s="661"/>
    </row>
    <row r="141" spans="1:13" x14ac:dyDescent="0.2">
      <c r="A141" s="25"/>
      <c r="B141" s="41"/>
      <c r="C141" s="42" t="s">
        <v>78</v>
      </c>
      <c r="D141" s="43"/>
      <c r="E141" s="116" t="s">
        <v>79</v>
      </c>
      <c r="F141" s="45"/>
      <c r="G141" s="662" t="s">
        <v>85</v>
      </c>
      <c r="H141" s="662"/>
    </row>
    <row r="142" spans="1:13" x14ac:dyDescent="0.2">
      <c r="A142" s="25"/>
      <c r="B142" s="41"/>
      <c r="C142" s="42"/>
      <c r="D142" s="43"/>
      <c r="E142" s="116"/>
      <c r="F142" s="45"/>
      <c r="G142" s="117"/>
      <c r="H142" s="117"/>
    </row>
    <row r="143" spans="1:13" x14ac:dyDescent="0.2">
      <c r="A143" s="25"/>
      <c r="B143" s="27"/>
      <c r="C143" s="660" t="s">
        <v>86</v>
      </c>
      <c r="D143" s="660"/>
      <c r="E143" s="40"/>
      <c r="F143" s="40"/>
      <c r="G143" s="659"/>
      <c r="H143" s="659"/>
    </row>
    <row r="144" spans="1:13" x14ac:dyDescent="0.2">
      <c r="A144" s="25"/>
      <c r="B144" s="41"/>
      <c r="C144" s="42" t="s">
        <v>78</v>
      </c>
      <c r="D144" s="43"/>
      <c r="E144" s="116" t="s">
        <v>79</v>
      </c>
      <c r="F144" s="45"/>
      <c r="G144" s="652" t="s">
        <v>80</v>
      </c>
      <c r="H144" s="652"/>
    </row>
    <row r="145" spans="1:19" x14ac:dyDescent="0.2">
      <c r="C145" s="77" t="s">
        <v>1240</v>
      </c>
      <c r="D145" s="146">
        <f>-D74*15%*6.99</f>
        <v>-107.87</v>
      </c>
      <c r="E145" s="146">
        <f>-E74*15%*6.99</f>
        <v>-22.34</v>
      </c>
      <c r="F145" s="146">
        <f>-F74*15%*6.99</f>
        <v>0</v>
      </c>
      <c r="G145" s="146">
        <f>-G74*15%*6.99</f>
        <v>0</v>
      </c>
      <c r="H145" s="146">
        <f>SUM(D145:G145)</f>
        <v>-130.21</v>
      </c>
      <c r="I145" s="671" t="s">
        <v>1243</v>
      </c>
      <c r="J145" s="671"/>
      <c r="K145" s="671"/>
      <c r="L145" s="671"/>
      <c r="M145" s="671"/>
    </row>
    <row r="146" spans="1:19" x14ac:dyDescent="0.2">
      <c r="C146" s="77" t="s">
        <v>1239</v>
      </c>
      <c r="D146" s="146">
        <f>D125+D145</f>
        <v>35399.440000000002</v>
      </c>
      <c r="E146" s="146">
        <f>E125+E145</f>
        <v>6769.91</v>
      </c>
      <c r="F146" s="146">
        <f>F125+F145</f>
        <v>40141.67</v>
      </c>
      <c r="G146" s="146">
        <f>G125+G145</f>
        <v>18611.14</v>
      </c>
      <c r="H146" s="146">
        <f t="shared" ref="H146:H148" si="12">SUM(D146:G146)</f>
        <v>100922.16</v>
      </c>
      <c r="I146" s="92">
        <f t="shared" ref="I146:M148" si="13">I125-D146*1000</f>
        <v>0</v>
      </c>
      <c r="J146" s="92">
        <f t="shared" si="13"/>
        <v>0</v>
      </c>
      <c r="K146" s="92">
        <f t="shared" si="13"/>
        <v>0</v>
      </c>
      <c r="L146" s="92">
        <f t="shared" si="13"/>
        <v>-4</v>
      </c>
      <c r="M146" s="327">
        <f t="shared" si="13"/>
        <v>-4</v>
      </c>
    </row>
    <row r="147" spans="1:19" x14ac:dyDescent="0.2">
      <c r="C147" s="77" t="s">
        <v>1241</v>
      </c>
      <c r="D147" s="146">
        <f>D146*20%</f>
        <v>7079.89</v>
      </c>
      <c r="E147" s="146">
        <f>E146*20%</f>
        <v>1353.98</v>
      </c>
      <c r="F147" s="146">
        <f>F146*20%</f>
        <v>8028.33</v>
      </c>
      <c r="G147" s="146">
        <f>G146*20%</f>
        <v>3722.23</v>
      </c>
      <c r="H147" s="146">
        <f t="shared" si="12"/>
        <v>20184.43</v>
      </c>
      <c r="I147" s="328">
        <f t="shared" si="13"/>
        <v>-2</v>
      </c>
      <c r="J147" s="328">
        <f t="shared" si="13"/>
        <v>2</v>
      </c>
      <c r="K147" s="328">
        <f t="shared" si="13"/>
        <v>4</v>
      </c>
      <c r="L147" s="328">
        <f t="shared" si="13"/>
        <v>-2.8</v>
      </c>
      <c r="M147" s="328">
        <f t="shared" si="13"/>
        <v>1.2</v>
      </c>
    </row>
    <row r="148" spans="1:19" x14ac:dyDescent="0.2">
      <c r="C148" s="77" t="s">
        <v>1242</v>
      </c>
      <c r="D148" s="53">
        <f>D146+D147</f>
        <v>42479.33</v>
      </c>
      <c r="E148" s="53">
        <f>E146+E147</f>
        <v>8123.89</v>
      </c>
      <c r="F148" s="53">
        <f>F146+F147</f>
        <v>48170</v>
      </c>
      <c r="G148" s="53">
        <f>G146+G147</f>
        <v>22333.37</v>
      </c>
      <c r="H148" s="146">
        <f t="shared" si="12"/>
        <v>121106.59</v>
      </c>
      <c r="I148" s="328">
        <f t="shared" si="13"/>
        <v>-2</v>
      </c>
      <c r="J148" s="328">
        <f t="shared" si="13"/>
        <v>2</v>
      </c>
      <c r="K148" s="328">
        <f t="shared" si="13"/>
        <v>4</v>
      </c>
      <c r="L148" s="328">
        <f t="shared" si="13"/>
        <v>-6.8</v>
      </c>
      <c r="M148" s="328">
        <f t="shared" si="13"/>
        <v>-2.8</v>
      </c>
    </row>
    <row r="149" spans="1:19" x14ac:dyDescent="0.2">
      <c r="D149" s="146"/>
      <c r="E149" s="146"/>
    </row>
    <row r="150" spans="1:19" s="7" customFormat="1" x14ac:dyDescent="0.2">
      <c r="A150" s="1"/>
      <c r="B150" s="77"/>
      <c r="C150" s="77"/>
      <c r="D150" s="145"/>
      <c r="E150" s="145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:19" x14ac:dyDescent="0.2">
      <c r="D151" s="145"/>
      <c r="E151" s="145"/>
    </row>
    <row r="152" spans="1:19" x14ac:dyDescent="0.2">
      <c r="D152" s="329">
        <f>D113/1.02</f>
        <v>34811.089999999997</v>
      </c>
      <c r="E152" s="329">
        <f>E114/1.02</f>
        <v>6659.07</v>
      </c>
    </row>
    <row r="153" spans="1:19" x14ac:dyDescent="0.2">
      <c r="D153" s="329">
        <f>D152+D145</f>
        <v>34703.22</v>
      </c>
      <c r="E153" s="329">
        <f>E152+E145</f>
        <v>6636.73</v>
      </c>
    </row>
  </sheetData>
  <mergeCells count="55">
    <mergeCell ref="I145:M145"/>
    <mergeCell ref="A27:H27"/>
    <mergeCell ref="C10:G10"/>
    <mergeCell ref="C17:G17"/>
    <mergeCell ref="A22:A25"/>
    <mergeCell ref="B22:B25"/>
    <mergeCell ref="C22:C25"/>
    <mergeCell ref="D22:G22"/>
    <mergeCell ref="H22:H25"/>
    <mergeCell ref="D23:D25"/>
    <mergeCell ref="E23:E25"/>
    <mergeCell ref="F23:F25"/>
    <mergeCell ref="G23:G25"/>
    <mergeCell ref="B76:C76"/>
    <mergeCell ref="B31:C31"/>
    <mergeCell ref="A32:H32"/>
    <mergeCell ref="B58:C58"/>
    <mergeCell ref="A59:H59"/>
    <mergeCell ref="B65:C65"/>
    <mergeCell ref="A66:H66"/>
    <mergeCell ref="B68:C68"/>
    <mergeCell ref="A69:H69"/>
    <mergeCell ref="B71:C71"/>
    <mergeCell ref="B72:C72"/>
    <mergeCell ref="A73:H73"/>
    <mergeCell ref="B111:C111"/>
    <mergeCell ref="B77:C77"/>
    <mergeCell ref="A78:H78"/>
    <mergeCell ref="B95:C95"/>
    <mergeCell ref="B96:C96"/>
    <mergeCell ref="A97:H97"/>
    <mergeCell ref="B99:C99"/>
    <mergeCell ref="A100:H100"/>
    <mergeCell ref="B106:C106"/>
    <mergeCell ref="B107:C107"/>
    <mergeCell ref="A108:H108"/>
    <mergeCell ref="B110:C110"/>
    <mergeCell ref="G144:H144"/>
    <mergeCell ref="B112:C112"/>
    <mergeCell ref="B125:C125"/>
    <mergeCell ref="B127:C127"/>
    <mergeCell ref="C133:D133"/>
    <mergeCell ref="G133:H133"/>
    <mergeCell ref="G134:H134"/>
    <mergeCell ref="C140:D140"/>
    <mergeCell ref="G140:H140"/>
    <mergeCell ref="G141:H141"/>
    <mergeCell ref="C143:D143"/>
    <mergeCell ref="G143:H143"/>
    <mergeCell ref="I22:M23"/>
    <mergeCell ref="I24:I25"/>
    <mergeCell ref="J24:J25"/>
    <mergeCell ref="K24:K25"/>
    <mergeCell ref="L24:L25"/>
    <mergeCell ref="M24:M25"/>
  </mergeCells>
  <conditionalFormatting sqref="I148:M148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42" right="0.25" top="0.5" bottom="0.52" header="0.3" footer="0.3"/>
  <pageSetup paperSize="9" scale="54" fitToHeight="100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116"/>
  <sheetViews>
    <sheetView showGridLines="0" view="pageBreakPreview" topLeftCell="A73" zoomScaleNormal="85" zoomScaleSheetLayoutView="100" workbookViewId="0">
      <selection activeCell="M86" sqref="M86"/>
    </sheetView>
  </sheetViews>
  <sheetFormatPr defaultColWidth="9.140625" defaultRowHeight="12.75" x14ac:dyDescent="0.2"/>
  <cols>
    <col min="1" max="1" width="5" style="1" customWidth="1"/>
    <col min="2" max="2" width="24" style="2" customWidth="1"/>
    <col min="3" max="3" width="54.85546875" style="2" customWidth="1"/>
    <col min="4" max="8" width="19.7109375" style="7" customWidth="1"/>
    <col min="9" max="9" width="12.42578125" style="5" customWidth="1"/>
    <col min="10" max="11" width="9.140625" style="5"/>
    <col min="12" max="12" width="12.140625" style="5" customWidth="1"/>
    <col min="13" max="13" width="15.5703125" style="5" customWidth="1"/>
    <col min="14" max="16384" width="9.140625" style="5"/>
  </cols>
  <sheetData>
    <row r="1" spans="1:8" x14ac:dyDescent="0.2">
      <c r="D1" s="3"/>
      <c r="E1" s="3"/>
      <c r="F1" s="3"/>
      <c r="G1" s="3"/>
      <c r="H1" s="4" t="s">
        <v>5</v>
      </c>
    </row>
    <row r="2" spans="1:8" x14ac:dyDescent="0.2">
      <c r="A2" s="16"/>
      <c r="B2" s="17" t="s">
        <v>7</v>
      </c>
      <c r="C2" s="18" t="s">
        <v>73</v>
      </c>
      <c r="D2" s="19"/>
      <c r="E2" s="19"/>
      <c r="F2" s="19"/>
      <c r="G2" s="19"/>
      <c r="H2" s="20"/>
    </row>
    <row r="3" spans="1:8" x14ac:dyDescent="0.2">
      <c r="C3" s="12"/>
      <c r="D3" s="13" t="s">
        <v>8</v>
      </c>
      <c r="E3" s="14"/>
      <c r="F3" s="15"/>
      <c r="G3" s="15"/>
      <c r="H3" s="3"/>
    </row>
    <row r="4" spans="1:8" x14ac:dyDescent="0.2">
      <c r="B4" s="2" t="s">
        <v>13</v>
      </c>
      <c r="C4" s="11"/>
      <c r="D4" s="3"/>
      <c r="E4" s="6"/>
      <c r="F4" s="3"/>
      <c r="G4" s="3"/>
      <c r="H4" s="3"/>
    </row>
    <row r="5" spans="1:8" x14ac:dyDescent="0.2">
      <c r="D5" s="3"/>
      <c r="E5" s="6"/>
      <c r="F5" s="3"/>
      <c r="G5" s="3"/>
      <c r="H5" s="3"/>
    </row>
    <row r="6" spans="1:8" x14ac:dyDescent="0.2">
      <c r="B6" s="77" t="s">
        <v>116</v>
      </c>
      <c r="D6" s="3"/>
      <c r="E6" s="6"/>
      <c r="F6" s="3"/>
      <c r="G6" s="3"/>
      <c r="H6" s="3"/>
    </row>
    <row r="7" spans="1:8" x14ac:dyDescent="0.2">
      <c r="B7" s="77"/>
      <c r="D7" s="3"/>
      <c r="E7" s="3"/>
      <c r="F7" s="3"/>
      <c r="G7" s="3"/>
      <c r="H7" s="3"/>
    </row>
    <row r="8" spans="1:8" s="63" customFormat="1" x14ac:dyDescent="0.2">
      <c r="A8" s="59"/>
      <c r="B8" s="77" t="s">
        <v>127</v>
      </c>
      <c r="C8" s="60"/>
      <c r="D8" s="64"/>
      <c r="E8" s="61"/>
      <c r="F8" s="62"/>
      <c r="G8" s="62"/>
      <c r="H8" s="62"/>
    </row>
    <row r="9" spans="1:8" x14ac:dyDescent="0.2">
      <c r="D9" s="3"/>
      <c r="E9" s="3"/>
      <c r="F9" s="3"/>
      <c r="G9" s="3"/>
      <c r="H9" s="3"/>
    </row>
    <row r="10" spans="1:8" x14ac:dyDescent="0.2">
      <c r="C10" s="672"/>
      <c r="D10" s="673"/>
      <c r="E10" s="673"/>
      <c r="F10" s="673"/>
      <c r="G10" s="673"/>
      <c r="H10" s="3"/>
    </row>
    <row r="11" spans="1:8" x14ac:dyDescent="0.2">
      <c r="D11" s="6" t="s">
        <v>9</v>
      </c>
      <c r="F11" s="3"/>
      <c r="G11" s="3"/>
      <c r="H11" s="3"/>
    </row>
    <row r="12" spans="1:8" x14ac:dyDescent="0.2">
      <c r="D12" s="3"/>
      <c r="E12" s="6"/>
      <c r="F12" s="3"/>
      <c r="G12" s="3"/>
      <c r="H12" s="3"/>
    </row>
    <row r="13" spans="1:8" x14ac:dyDescent="0.2">
      <c r="B13" s="2" t="s">
        <v>14</v>
      </c>
      <c r="H13" s="3"/>
    </row>
    <row r="14" spans="1:8" x14ac:dyDescent="0.2">
      <c r="G14" s="3"/>
      <c r="H14" s="3"/>
    </row>
    <row r="15" spans="1:8" x14ac:dyDescent="0.2">
      <c r="D15" s="8" t="s">
        <v>6</v>
      </c>
      <c r="F15" s="3"/>
      <c r="G15" s="3"/>
      <c r="H15" s="3"/>
    </row>
    <row r="16" spans="1:8" x14ac:dyDescent="0.2">
      <c r="D16" s="9"/>
      <c r="F16" s="3"/>
      <c r="G16" s="3"/>
      <c r="H16" s="3"/>
    </row>
    <row r="17" spans="1:8" ht="27.95" customHeight="1" x14ac:dyDescent="0.2">
      <c r="C17" s="674" t="s">
        <v>74</v>
      </c>
      <c r="D17" s="675"/>
      <c r="E17" s="675"/>
      <c r="F17" s="675"/>
      <c r="G17" s="675"/>
      <c r="H17" s="3"/>
    </row>
    <row r="18" spans="1:8" x14ac:dyDescent="0.2">
      <c r="D18" s="10" t="s">
        <v>0</v>
      </c>
      <c r="F18" s="3"/>
      <c r="G18" s="3"/>
      <c r="H18" s="3"/>
    </row>
    <row r="19" spans="1:8" x14ac:dyDescent="0.2">
      <c r="H19" s="3"/>
    </row>
    <row r="20" spans="1:8" x14ac:dyDescent="0.2">
      <c r="A20" s="23" t="s">
        <v>96</v>
      </c>
      <c r="B20" s="21"/>
      <c r="C20" s="21"/>
      <c r="D20" s="24"/>
      <c r="E20" s="22"/>
      <c r="F20" s="22"/>
      <c r="G20" s="22"/>
      <c r="H20" s="22"/>
    </row>
    <row r="21" spans="1:8" x14ac:dyDescent="0.2">
      <c r="D21" s="3"/>
      <c r="E21" s="3"/>
      <c r="F21" s="3"/>
      <c r="G21" s="3"/>
      <c r="H21" s="3"/>
    </row>
    <row r="22" spans="1:8" ht="12.75" customHeight="1" x14ac:dyDescent="0.2">
      <c r="A22" s="676" t="s">
        <v>1</v>
      </c>
      <c r="B22" s="677" t="s">
        <v>10</v>
      </c>
      <c r="C22" s="677" t="s">
        <v>11</v>
      </c>
      <c r="D22" s="678" t="s">
        <v>15</v>
      </c>
      <c r="E22" s="678"/>
      <c r="F22" s="678"/>
      <c r="G22" s="678"/>
      <c r="H22" s="676" t="s">
        <v>16</v>
      </c>
    </row>
    <row r="23" spans="1:8" ht="12.75" customHeight="1" x14ac:dyDescent="0.2">
      <c r="A23" s="676"/>
      <c r="B23" s="677"/>
      <c r="C23" s="677"/>
      <c r="D23" s="676" t="s">
        <v>12</v>
      </c>
      <c r="E23" s="676" t="s">
        <v>2</v>
      </c>
      <c r="F23" s="676" t="s">
        <v>3</v>
      </c>
      <c r="G23" s="676" t="s">
        <v>4</v>
      </c>
      <c r="H23" s="676"/>
    </row>
    <row r="24" spans="1:8" x14ac:dyDescent="0.2">
      <c r="A24" s="676"/>
      <c r="B24" s="677"/>
      <c r="C24" s="677"/>
      <c r="D24" s="676"/>
      <c r="E24" s="676"/>
      <c r="F24" s="676"/>
      <c r="G24" s="676"/>
      <c r="H24" s="676"/>
    </row>
    <row r="25" spans="1:8" x14ac:dyDescent="0.2">
      <c r="A25" s="676"/>
      <c r="B25" s="677"/>
      <c r="C25" s="677"/>
      <c r="D25" s="676"/>
      <c r="E25" s="676"/>
      <c r="F25" s="676"/>
      <c r="G25" s="676"/>
      <c r="H25" s="676"/>
    </row>
    <row r="26" spans="1:8" x14ac:dyDescent="0.2">
      <c r="A26" s="65">
        <v>1</v>
      </c>
      <c r="B26" s="66">
        <v>2</v>
      </c>
      <c r="C26" s="66">
        <v>3</v>
      </c>
      <c r="D26" s="65">
        <v>4</v>
      </c>
      <c r="E26" s="65">
        <v>5</v>
      </c>
      <c r="F26" s="65">
        <v>6</v>
      </c>
      <c r="G26" s="65">
        <v>7</v>
      </c>
      <c r="H26" s="65">
        <v>8</v>
      </c>
    </row>
    <row r="27" spans="1:8" ht="12.75" customHeight="1" x14ac:dyDescent="0.2">
      <c r="A27" s="663" t="s">
        <v>17</v>
      </c>
      <c r="B27" s="664"/>
      <c r="C27" s="664"/>
      <c r="D27" s="664"/>
      <c r="E27" s="664"/>
      <c r="F27" s="664"/>
      <c r="G27" s="664"/>
      <c r="H27" s="664"/>
    </row>
    <row r="28" spans="1:8" x14ac:dyDescent="0.2">
      <c r="A28" s="68">
        <v>1</v>
      </c>
      <c r="B28" s="69" t="s">
        <v>18</v>
      </c>
      <c r="C28" s="69" t="s">
        <v>19</v>
      </c>
      <c r="D28" s="70"/>
      <c r="E28" s="70"/>
      <c r="F28" s="70"/>
      <c r="G28" s="106">
        <v>0.04</v>
      </c>
      <c r="H28" s="106">
        <f>SUM(D28:G28)</f>
        <v>0.04</v>
      </c>
    </row>
    <row r="29" spans="1:8" ht="25.5" x14ac:dyDescent="0.2">
      <c r="A29" s="68">
        <v>2</v>
      </c>
      <c r="B29" s="114" t="s">
        <v>101</v>
      </c>
      <c r="C29" s="69" t="s">
        <v>112</v>
      </c>
      <c r="D29" s="70"/>
      <c r="E29" s="70"/>
      <c r="F29" s="70"/>
      <c r="G29" s="106">
        <v>25.81</v>
      </c>
      <c r="H29" s="106">
        <f>SUM(D29:G29)</f>
        <v>25.81</v>
      </c>
    </row>
    <row r="30" spans="1:8" x14ac:dyDescent="0.2">
      <c r="A30" s="68">
        <v>3</v>
      </c>
      <c r="B30" s="69" t="s">
        <v>20</v>
      </c>
      <c r="C30" s="69" t="s">
        <v>21</v>
      </c>
      <c r="D30" s="106">
        <v>4.87</v>
      </c>
      <c r="E30" s="70"/>
      <c r="F30" s="70"/>
      <c r="G30" s="70"/>
      <c r="H30" s="106">
        <f>SUM(D30:G30)</f>
        <v>4.87</v>
      </c>
    </row>
    <row r="31" spans="1:8" ht="13.5" customHeight="1" x14ac:dyDescent="0.2">
      <c r="A31" s="72"/>
      <c r="B31" s="665" t="s">
        <v>22</v>
      </c>
      <c r="C31" s="666"/>
      <c r="D31" s="71">
        <f>D28+D29+D30</f>
        <v>4.87</v>
      </c>
      <c r="E31" s="70"/>
      <c r="F31" s="70"/>
      <c r="G31" s="94">
        <f>G28+G29+G30</f>
        <v>25.85</v>
      </c>
      <c r="H31" s="71">
        <f>SUM(D31:G31)</f>
        <v>30.72</v>
      </c>
    </row>
    <row r="32" spans="1:8" ht="12.75" customHeight="1" x14ac:dyDescent="0.2">
      <c r="A32" s="663" t="s">
        <v>23</v>
      </c>
      <c r="B32" s="664"/>
      <c r="C32" s="664"/>
      <c r="D32" s="664"/>
      <c r="E32" s="664"/>
      <c r="F32" s="664"/>
      <c r="G32" s="664"/>
      <c r="H32" s="664"/>
    </row>
    <row r="33" spans="1:8" x14ac:dyDescent="0.2">
      <c r="A33" s="68">
        <v>4</v>
      </c>
      <c r="B33" s="69" t="s">
        <v>24</v>
      </c>
      <c r="C33" s="69" t="s">
        <v>25</v>
      </c>
      <c r="D33" s="107">
        <v>2222.75</v>
      </c>
      <c r="E33" s="107">
        <v>504.39</v>
      </c>
      <c r="F33" s="107">
        <v>54351.13</v>
      </c>
      <c r="G33" s="82"/>
      <c r="H33" s="107">
        <f>SUM(D33:G33)</f>
        <v>57078.27</v>
      </c>
    </row>
    <row r="34" spans="1:8" ht="25.5" x14ac:dyDescent="0.2">
      <c r="A34" s="68">
        <v>5</v>
      </c>
      <c r="B34" s="69" t="s">
        <v>26</v>
      </c>
      <c r="C34" s="69" t="s">
        <v>27</v>
      </c>
      <c r="D34" s="107">
        <v>332.43</v>
      </c>
      <c r="E34" s="108">
        <v>79.25</v>
      </c>
      <c r="F34" s="108">
        <v>2407.6</v>
      </c>
      <c r="G34" s="109"/>
      <c r="H34" s="108">
        <f t="shared" ref="H34:H74" si="0">SUM(D34:G34)</f>
        <v>2819.28</v>
      </c>
    </row>
    <row r="35" spans="1:8" ht="25.5" x14ac:dyDescent="0.2">
      <c r="A35" s="68">
        <v>6</v>
      </c>
      <c r="B35" s="69" t="s">
        <v>28</v>
      </c>
      <c r="C35" s="69" t="s">
        <v>29</v>
      </c>
      <c r="D35" s="108">
        <v>1018.03</v>
      </c>
      <c r="E35" s="108">
        <v>72.930000000000007</v>
      </c>
      <c r="F35" s="108">
        <v>1093.8699999999999</v>
      </c>
      <c r="G35" s="109"/>
      <c r="H35" s="108">
        <f t="shared" si="0"/>
        <v>2184.83</v>
      </c>
    </row>
    <row r="36" spans="1:8" ht="27.95" customHeight="1" x14ac:dyDescent="0.2">
      <c r="A36" s="72"/>
      <c r="B36" s="665" t="s">
        <v>30</v>
      </c>
      <c r="C36" s="666"/>
      <c r="D36" s="81">
        <f>D33+D34+D35</f>
        <v>3573.21</v>
      </c>
      <c r="E36" s="81">
        <f>E33+E34+E35</f>
        <v>656.57</v>
      </c>
      <c r="F36" s="81">
        <f>F33+F34+F35</f>
        <v>57852.6</v>
      </c>
      <c r="G36" s="82"/>
      <c r="H36" s="81">
        <f t="shared" si="0"/>
        <v>62082.38</v>
      </c>
    </row>
    <row r="37" spans="1:8" ht="12.75" customHeight="1" x14ac:dyDescent="0.2">
      <c r="A37" s="663" t="s">
        <v>31</v>
      </c>
      <c r="B37" s="664"/>
      <c r="C37" s="664"/>
      <c r="D37" s="664"/>
      <c r="E37" s="664"/>
      <c r="F37" s="664"/>
      <c r="G37" s="664"/>
      <c r="H37" s="664"/>
    </row>
    <row r="38" spans="1:8" x14ac:dyDescent="0.2">
      <c r="A38" s="68">
        <v>7</v>
      </c>
      <c r="B38" s="69" t="s">
        <v>32</v>
      </c>
      <c r="C38" s="69" t="s">
        <v>33</v>
      </c>
      <c r="D38" s="107">
        <v>83.09</v>
      </c>
      <c r="E38" s="107">
        <v>71.27</v>
      </c>
      <c r="F38" s="107">
        <v>5946.63</v>
      </c>
      <c r="G38" s="110"/>
      <c r="H38" s="107">
        <f t="shared" si="0"/>
        <v>6100.99</v>
      </c>
    </row>
    <row r="39" spans="1:8" ht="17.25" customHeight="1" x14ac:dyDescent="0.2">
      <c r="A39" s="68">
        <v>8</v>
      </c>
      <c r="B39" s="69" t="s">
        <v>34</v>
      </c>
      <c r="C39" s="69" t="s">
        <v>35</v>
      </c>
      <c r="D39" s="107">
        <v>129.13999999999999</v>
      </c>
      <c r="E39" s="107">
        <v>104.61</v>
      </c>
      <c r="F39" s="107">
        <v>15.2</v>
      </c>
      <c r="G39" s="82"/>
      <c r="H39" s="107">
        <f t="shared" si="0"/>
        <v>248.95</v>
      </c>
    </row>
    <row r="40" spans="1:8" ht="17.25" customHeight="1" x14ac:dyDescent="0.2">
      <c r="A40" s="68">
        <v>9</v>
      </c>
      <c r="B40" s="69" t="s">
        <v>36</v>
      </c>
      <c r="C40" s="69" t="s">
        <v>37</v>
      </c>
      <c r="D40" s="107">
        <v>76.88</v>
      </c>
      <c r="E40" s="107">
        <v>46.14</v>
      </c>
      <c r="F40" s="82"/>
      <c r="G40" s="82"/>
      <c r="H40" s="107">
        <f t="shared" si="0"/>
        <v>123.02</v>
      </c>
    </row>
    <row r="41" spans="1:8" ht="27.95" customHeight="1" x14ac:dyDescent="0.2">
      <c r="A41" s="72"/>
      <c r="B41" s="665" t="s">
        <v>38</v>
      </c>
      <c r="C41" s="666"/>
      <c r="D41" s="81">
        <f>D38+D39+D40</f>
        <v>289.11</v>
      </c>
      <c r="E41" s="81">
        <f>E38+E39+E40</f>
        <v>222.02</v>
      </c>
      <c r="F41" s="81">
        <f>F38+F39+F40</f>
        <v>5961.83</v>
      </c>
      <c r="G41" s="82"/>
      <c r="H41" s="81">
        <f t="shared" si="0"/>
        <v>6472.96</v>
      </c>
    </row>
    <row r="42" spans="1:8" ht="12.75" customHeight="1" x14ac:dyDescent="0.2">
      <c r="A42" s="663" t="s">
        <v>39</v>
      </c>
      <c r="B42" s="664"/>
      <c r="C42" s="664"/>
      <c r="D42" s="664"/>
      <c r="E42" s="664"/>
      <c r="F42" s="664"/>
      <c r="G42" s="664"/>
      <c r="H42" s="664"/>
    </row>
    <row r="43" spans="1:8" x14ac:dyDescent="0.2">
      <c r="A43" s="68">
        <v>10</v>
      </c>
      <c r="B43" s="69" t="s">
        <v>40</v>
      </c>
      <c r="C43" s="69" t="s">
        <v>102</v>
      </c>
      <c r="D43" s="106">
        <v>3.69</v>
      </c>
      <c r="E43" s="106">
        <v>48.02</v>
      </c>
      <c r="F43" s="106">
        <v>4.95</v>
      </c>
      <c r="G43" s="70"/>
      <c r="H43" s="106">
        <f t="shared" si="0"/>
        <v>56.66</v>
      </c>
    </row>
    <row r="44" spans="1:8" ht="27.95" customHeight="1" x14ac:dyDescent="0.2">
      <c r="A44" s="72"/>
      <c r="B44" s="665" t="s">
        <v>41</v>
      </c>
      <c r="C44" s="666"/>
      <c r="D44" s="71">
        <f>D43</f>
        <v>3.69</v>
      </c>
      <c r="E44" s="94">
        <f>E43</f>
        <v>48.02</v>
      </c>
      <c r="F44" s="94">
        <f>F43</f>
        <v>4.95</v>
      </c>
      <c r="G44" s="70"/>
      <c r="H44" s="71">
        <f t="shared" si="0"/>
        <v>56.66</v>
      </c>
    </row>
    <row r="45" spans="1:8" ht="12.75" customHeight="1" x14ac:dyDescent="0.2">
      <c r="A45" s="663" t="s">
        <v>42</v>
      </c>
      <c r="B45" s="664"/>
      <c r="C45" s="664"/>
      <c r="D45" s="664"/>
      <c r="E45" s="664"/>
      <c r="F45" s="664"/>
      <c r="G45" s="664"/>
      <c r="H45" s="664"/>
    </row>
    <row r="46" spans="1:8" x14ac:dyDescent="0.2">
      <c r="A46" s="68">
        <v>11</v>
      </c>
      <c r="B46" s="69" t="s">
        <v>43</v>
      </c>
      <c r="C46" s="69" t="s">
        <v>130</v>
      </c>
      <c r="D46" s="106">
        <v>602.27</v>
      </c>
      <c r="E46" s="70"/>
      <c r="F46" s="70"/>
      <c r="G46" s="70"/>
      <c r="H46" s="106">
        <f t="shared" si="0"/>
        <v>602.27</v>
      </c>
    </row>
    <row r="47" spans="1:8" ht="27.95" customHeight="1" x14ac:dyDescent="0.2">
      <c r="A47" s="72"/>
      <c r="B47" s="665" t="s">
        <v>44</v>
      </c>
      <c r="C47" s="666"/>
      <c r="D47" s="71">
        <f>D46</f>
        <v>602.27</v>
      </c>
      <c r="E47" s="70"/>
      <c r="F47" s="70"/>
      <c r="G47" s="70"/>
      <c r="H47" s="71">
        <f t="shared" si="0"/>
        <v>602.27</v>
      </c>
    </row>
    <row r="48" spans="1:8" ht="12.75" customHeight="1" x14ac:dyDescent="0.2">
      <c r="A48" s="72"/>
      <c r="B48" s="665" t="s">
        <v>45</v>
      </c>
      <c r="C48" s="666"/>
      <c r="D48" s="81">
        <f>D31+D36+D41+D44+D47</f>
        <v>4473.1499999999996</v>
      </c>
      <c r="E48" s="81">
        <f>E31+E36+E41+E44+E47</f>
        <v>926.61</v>
      </c>
      <c r="F48" s="81">
        <f>F31+F36+F41+F44+F47</f>
        <v>63819.38</v>
      </c>
      <c r="G48" s="81">
        <f>G31+G36+G41+G44+G47</f>
        <v>25.85</v>
      </c>
      <c r="H48" s="71">
        <f t="shared" si="0"/>
        <v>69244.990000000005</v>
      </c>
    </row>
    <row r="49" spans="1:8" ht="12.75" customHeight="1" x14ac:dyDescent="0.2">
      <c r="A49" s="663" t="s">
        <v>46</v>
      </c>
      <c r="B49" s="664"/>
      <c r="C49" s="664"/>
      <c r="D49" s="664"/>
      <c r="E49" s="664"/>
      <c r="F49" s="664"/>
      <c r="G49" s="664"/>
      <c r="H49" s="664"/>
    </row>
    <row r="50" spans="1:8" x14ac:dyDescent="0.2">
      <c r="A50" s="68">
        <v>12</v>
      </c>
      <c r="B50" s="69" t="s">
        <v>47</v>
      </c>
      <c r="C50" s="69" t="s">
        <v>97</v>
      </c>
      <c r="D50" s="81">
        <f>D48*2.3%</f>
        <v>102.88</v>
      </c>
      <c r="E50" s="81">
        <f>E48*2.3%</f>
        <v>21.31</v>
      </c>
      <c r="F50" s="82"/>
      <c r="G50" s="82"/>
      <c r="H50" s="81">
        <f t="shared" si="0"/>
        <v>124.19</v>
      </c>
    </row>
    <row r="51" spans="1:8" s="67" customFormat="1" x14ac:dyDescent="0.2">
      <c r="A51" s="74">
        <v>13</v>
      </c>
      <c r="B51" s="75" t="s">
        <v>103</v>
      </c>
      <c r="C51" s="75" t="s">
        <v>104</v>
      </c>
      <c r="D51" s="106">
        <v>360.33</v>
      </c>
      <c r="E51" s="83"/>
      <c r="F51" s="83"/>
      <c r="G51" s="83"/>
      <c r="H51" s="106">
        <f t="shared" si="0"/>
        <v>360.33</v>
      </c>
    </row>
    <row r="52" spans="1:8" ht="12.75" customHeight="1" x14ac:dyDescent="0.2">
      <c r="A52" s="76"/>
      <c r="B52" s="665" t="s">
        <v>48</v>
      </c>
      <c r="C52" s="666"/>
      <c r="D52" s="81">
        <f>D50+D51</f>
        <v>463.21</v>
      </c>
      <c r="E52" s="81">
        <f>E50+E51</f>
        <v>21.31</v>
      </c>
      <c r="F52" s="83"/>
      <c r="G52" s="83"/>
      <c r="H52" s="84">
        <f t="shared" si="0"/>
        <v>484.52</v>
      </c>
    </row>
    <row r="53" spans="1:8" ht="12.75" customHeight="1" x14ac:dyDescent="0.2">
      <c r="A53" s="76"/>
      <c r="B53" s="665" t="s">
        <v>49</v>
      </c>
      <c r="C53" s="666"/>
      <c r="D53" s="81">
        <f>D48+D52</f>
        <v>4936.3599999999997</v>
      </c>
      <c r="E53" s="81">
        <f>E48+E52</f>
        <v>947.92</v>
      </c>
      <c r="F53" s="81">
        <f>F48+F52</f>
        <v>63819.38</v>
      </c>
      <c r="G53" s="81">
        <f>G48+G52</f>
        <v>25.85</v>
      </c>
      <c r="H53" s="84">
        <f t="shared" si="0"/>
        <v>69729.509999999995</v>
      </c>
    </row>
    <row r="54" spans="1:8" ht="12.75" customHeight="1" x14ac:dyDescent="0.2">
      <c r="A54" s="663" t="s">
        <v>50</v>
      </c>
      <c r="B54" s="664"/>
      <c r="C54" s="664"/>
      <c r="D54" s="664"/>
      <c r="E54" s="664"/>
      <c r="F54" s="664"/>
      <c r="G54" s="664"/>
      <c r="H54" s="664"/>
    </row>
    <row r="55" spans="1:8" x14ac:dyDescent="0.2">
      <c r="A55" s="78">
        <v>14</v>
      </c>
      <c r="B55" s="79" t="s">
        <v>88</v>
      </c>
      <c r="C55" s="79" t="s">
        <v>105</v>
      </c>
      <c r="D55" s="81">
        <f>D53*0.5%</f>
        <v>24.68</v>
      </c>
      <c r="E55" s="81">
        <f>E53*0.5%</f>
        <v>4.74</v>
      </c>
      <c r="F55" s="82"/>
      <c r="G55" s="82"/>
      <c r="H55" s="81">
        <f t="shared" si="0"/>
        <v>29.42</v>
      </c>
    </row>
    <row r="56" spans="1:8" x14ac:dyDescent="0.2">
      <c r="A56" s="78">
        <v>15</v>
      </c>
      <c r="B56" s="79" t="s">
        <v>51</v>
      </c>
      <c r="C56" s="79" t="s">
        <v>52</v>
      </c>
      <c r="D56" s="85"/>
      <c r="E56" s="85"/>
      <c r="F56" s="85"/>
      <c r="G56" s="106">
        <v>23.98</v>
      </c>
      <c r="H56" s="106">
        <f t="shared" si="0"/>
        <v>23.98</v>
      </c>
    </row>
    <row r="57" spans="1:8" s="73" customFormat="1" x14ac:dyDescent="0.2">
      <c r="A57" s="78">
        <v>16</v>
      </c>
      <c r="B57" s="79" t="s">
        <v>106</v>
      </c>
      <c r="C57" s="79" t="s">
        <v>107</v>
      </c>
      <c r="D57" s="106">
        <v>19.09</v>
      </c>
      <c r="E57" s="85"/>
      <c r="F57" s="85"/>
      <c r="G57" s="85"/>
      <c r="H57" s="106">
        <f t="shared" si="0"/>
        <v>19.09</v>
      </c>
    </row>
    <row r="58" spans="1:8" ht="25.5" x14ac:dyDescent="0.2">
      <c r="A58" s="78">
        <v>17</v>
      </c>
      <c r="B58" s="79" t="s">
        <v>53</v>
      </c>
      <c r="C58" s="79" t="s">
        <v>54</v>
      </c>
      <c r="D58" s="85"/>
      <c r="E58" s="85"/>
      <c r="F58" s="85"/>
      <c r="G58" s="106">
        <v>45.03</v>
      </c>
      <c r="H58" s="106">
        <f t="shared" si="0"/>
        <v>45.03</v>
      </c>
    </row>
    <row r="59" spans="1:8" s="52" customFormat="1" x14ac:dyDescent="0.2">
      <c r="A59" s="102">
        <v>18</v>
      </c>
      <c r="B59" s="100" t="s">
        <v>110</v>
      </c>
      <c r="C59" s="100" t="s">
        <v>111</v>
      </c>
      <c r="D59" s="103"/>
      <c r="E59" s="103"/>
      <c r="F59" s="103"/>
      <c r="G59" s="106">
        <v>549.27</v>
      </c>
      <c r="H59" s="106">
        <f t="shared" si="0"/>
        <v>549.27</v>
      </c>
    </row>
    <row r="60" spans="1:8" s="52" customFormat="1" ht="25.5" x14ac:dyDescent="0.2">
      <c r="A60" s="102">
        <v>19</v>
      </c>
      <c r="B60" s="100" t="s">
        <v>55</v>
      </c>
      <c r="C60" s="100" t="s">
        <v>113</v>
      </c>
      <c r="D60" s="103"/>
      <c r="E60" s="103"/>
      <c r="F60" s="103"/>
      <c r="G60" s="106">
        <v>25.63</v>
      </c>
      <c r="H60" s="106">
        <f t="shared" si="0"/>
        <v>25.63</v>
      </c>
    </row>
    <row r="61" spans="1:8" s="52" customFormat="1" x14ac:dyDescent="0.2">
      <c r="A61" s="102">
        <v>20</v>
      </c>
      <c r="B61" s="100" t="s">
        <v>56</v>
      </c>
      <c r="C61" s="100" t="s">
        <v>98</v>
      </c>
      <c r="D61" s="103"/>
      <c r="E61" s="103"/>
      <c r="F61" s="103"/>
      <c r="G61" s="106">
        <v>48.93</v>
      </c>
      <c r="H61" s="106">
        <f t="shared" si="0"/>
        <v>48.93</v>
      </c>
    </row>
    <row r="62" spans="1:8" s="52" customFormat="1" x14ac:dyDescent="0.2">
      <c r="A62" s="102">
        <v>21</v>
      </c>
      <c r="B62" s="100" t="s">
        <v>57</v>
      </c>
      <c r="C62" s="100" t="s">
        <v>114</v>
      </c>
      <c r="D62" s="103"/>
      <c r="E62" s="103"/>
      <c r="F62" s="103"/>
      <c r="G62" s="106">
        <v>1597.27</v>
      </c>
      <c r="H62" s="106">
        <f t="shared" si="0"/>
        <v>1597.27</v>
      </c>
    </row>
    <row r="63" spans="1:8" s="52" customFormat="1" ht="12.75" customHeight="1" x14ac:dyDescent="0.2">
      <c r="A63" s="104"/>
      <c r="B63" s="667" t="s">
        <v>58</v>
      </c>
      <c r="C63" s="668"/>
      <c r="D63" s="119">
        <f>D55+D56+D57+D58+D59+D60+D61+D62</f>
        <v>43.77</v>
      </c>
      <c r="E63" s="119">
        <f>E55+E56+E57+E58+E59+E60+E61+E62</f>
        <v>4.74</v>
      </c>
      <c r="F63" s="119"/>
      <c r="G63" s="119">
        <f>G55+G56+G57+G58+G59+G60+G61+G62</f>
        <v>2290.11</v>
      </c>
      <c r="H63" s="101">
        <f t="shared" si="0"/>
        <v>2338.62</v>
      </c>
    </row>
    <row r="64" spans="1:8" ht="12.75" customHeight="1" x14ac:dyDescent="0.2">
      <c r="A64" s="80"/>
      <c r="B64" s="665" t="s">
        <v>59</v>
      </c>
      <c r="C64" s="666"/>
      <c r="D64" s="81">
        <f>D53+D63</f>
        <v>4980.13</v>
      </c>
      <c r="E64" s="81">
        <f>E53+E63</f>
        <v>952.66</v>
      </c>
      <c r="F64" s="81">
        <f>F53+F63</f>
        <v>63819.38</v>
      </c>
      <c r="G64" s="81">
        <f>G53+G63</f>
        <v>2315.96</v>
      </c>
      <c r="H64" s="86">
        <f t="shared" si="0"/>
        <v>72068.13</v>
      </c>
    </row>
    <row r="65" spans="1:10" ht="12.75" customHeight="1" x14ac:dyDescent="0.2">
      <c r="A65" s="663" t="s">
        <v>60</v>
      </c>
      <c r="B65" s="664"/>
      <c r="C65" s="664"/>
      <c r="D65" s="664"/>
      <c r="E65" s="664"/>
      <c r="F65" s="664"/>
      <c r="G65" s="664"/>
      <c r="H65" s="664"/>
    </row>
    <row r="66" spans="1:10" ht="51" x14ac:dyDescent="0.2">
      <c r="A66" s="87">
        <v>22</v>
      </c>
      <c r="B66" s="88" t="s">
        <v>61</v>
      </c>
      <c r="C66" s="88" t="s">
        <v>62</v>
      </c>
      <c r="D66" s="89"/>
      <c r="E66" s="89"/>
      <c r="F66" s="89"/>
      <c r="G66" s="81">
        <f>(H64+H73)*1.72%</f>
        <v>1270.8399999999999</v>
      </c>
      <c r="H66" s="81">
        <f t="shared" si="0"/>
        <v>1270.8399999999999</v>
      </c>
      <c r="I66" s="542" t="s">
        <v>1444</v>
      </c>
      <c r="J66" s="543">
        <f>H64*0.2%</f>
        <v>144.13999999999999</v>
      </c>
    </row>
    <row r="67" spans="1:10" ht="27.95" customHeight="1" x14ac:dyDescent="0.2">
      <c r="A67" s="91"/>
      <c r="B67" s="665" t="s">
        <v>63</v>
      </c>
      <c r="C67" s="666"/>
      <c r="D67" s="89"/>
      <c r="E67" s="89"/>
      <c r="F67" s="89"/>
      <c r="G67" s="81">
        <f>G66</f>
        <v>1270.8399999999999</v>
      </c>
      <c r="H67" s="81">
        <f t="shared" si="0"/>
        <v>1270.8399999999999</v>
      </c>
    </row>
    <row r="68" spans="1:10" ht="17.25" customHeight="1" x14ac:dyDescent="0.2">
      <c r="A68" s="663" t="s">
        <v>94</v>
      </c>
      <c r="B68" s="664"/>
      <c r="C68" s="664"/>
      <c r="D68" s="664"/>
      <c r="E68" s="664"/>
      <c r="F68" s="664"/>
      <c r="G68" s="664"/>
      <c r="H68" s="664"/>
    </row>
    <row r="69" spans="1:10" x14ac:dyDescent="0.2">
      <c r="A69" s="87">
        <v>23</v>
      </c>
      <c r="B69" s="88" t="s">
        <v>64</v>
      </c>
      <c r="C69" s="88" t="s">
        <v>117</v>
      </c>
      <c r="D69" s="89"/>
      <c r="E69" s="89"/>
      <c r="F69" s="89"/>
      <c r="G69" s="106">
        <v>920.93</v>
      </c>
      <c r="H69" s="106">
        <f t="shared" si="0"/>
        <v>920.93</v>
      </c>
      <c r="I69" s="5" t="s">
        <v>131</v>
      </c>
    </row>
    <row r="70" spans="1:10" ht="38.25" x14ac:dyDescent="0.2">
      <c r="A70" s="87">
        <v>24</v>
      </c>
      <c r="B70" s="88" t="s">
        <v>65</v>
      </c>
      <c r="C70" s="88" t="s">
        <v>118</v>
      </c>
      <c r="D70" s="89"/>
      <c r="E70" s="89"/>
      <c r="F70" s="89"/>
      <c r="G70" s="106">
        <v>346.55</v>
      </c>
      <c r="H70" s="106">
        <f t="shared" si="0"/>
        <v>346.55</v>
      </c>
      <c r="I70" s="118" t="s">
        <v>132</v>
      </c>
    </row>
    <row r="71" spans="1:10" x14ac:dyDescent="0.2">
      <c r="A71" s="87">
        <v>25</v>
      </c>
      <c r="B71" s="88" t="s">
        <v>66</v>
      </c>
      <c r="C71" s="88" t="s">
        <v>119</v>
      </c>
      <c r="D71" s="89"/>
      <c r="E71" s="89"/>
      <c r="F71" s="89"/>
      <c r="G71" s="106">
        <v>400.04</v>
      </c>
      <c r="H71" s="106">
        <f t="shared" si="0"/>
        <v>400.04</v>
      </c>
    </row>
    <row r="72" spans="1:10" x14ac:dyDescent="0.2">
      <c r="A72" s="87">
        <v>26</v>
      </c>
      <c r="B72" s="88" t="s">
        <v>99</v>
      </c>
      <c r="C72" s="88" t="s">
        <v>92</v>
      </c>
      <c r="D72" s="89"/>
      <c r="E72" s="89"/>
      <c r="F72" s="89"/>
      <c r="G72" s="81">
        <v>150.58000000000001</v>
      </c>
      <c r="H72" s="81">
        <f t="shared" si="0"/>
        <v>150.58000000000001</v>
      </c>
    </row>
    <row r="73" spans="1:10" ht="105" customHeight="1" x14ac:dyDescent="0.2">
      <c r="A73" s="91"/>
      <c r="B73" s="665" t="s">
        <v>67</v>
      </c>
      <c r="C73" s="666"/>
      <c r="D73" s="89"/>
      <c r="E73" s="89"/>
      <c r="F73" s="89"/>
      <c r="G73" s="81">
        <f>G69+G70+G71+G72</f>
        <v>1818.1</v>
      </c>
      <c r="H73" s="81">
        <f t="shared" si="0"/>
        <v>1818.1</v>
      </c>
    </row>
    <row r="74" spans="1:10" s="52" customFormat="1" ht="12.75" customHeight="1" x14ac:dyDescent="0.2">
      <c r="A74" s="91"/>
      <c r="B74" s="665" t="s">
        <v>68</v>
      </c>
      <c r="C74" s="666"/>
      <c r="D74" s="81">
        <f>D64+D67+D73</f>
        <v>4980.13</v>
      </c>
      <c r="E74" s="81">
        <f>E64+E67+E73</f>
        <v>952.66</v>
      </c>
      <c r="F74" s="81">
        <f>F64+F67+F73</f>
        <v>63819.38</v>
      </c>
      <c r="G74" s="81">
        <f>G64+G67+G73</f>
        <v>5404.9</v>
      </c>
      <c r="H74" s="90">
        <f t="shared" si="0"/>
        <v>75157.070000000007</v>
      </c>
    </row>
    <row r="75" spans="1:10" ht="12.75" customHeight="1" x14ac:dyDescent="0.2">
      <c r="A75" s="663" t="s">
        <v>69</v>
      </c>
      <c r="B75" s="664"/>
      <c r="C75" s="664"/>
      <c r="D75" s="664"/>
      <c r="E75" s="664"/>
      <c r="F75" s="664"/>
      <c r="G75" s="664"/>
      <c r="H75" s="664"/>
    </row>
    <row r="76" spans="1:10" ht="25.5" x14ac:dyDescent="0.2">
      <c r="A76" s="78">
        <v>27</v>
      </c>
      <c r="B76" s="79" t="s">
        <v>70</v>
      </c>
      <c r="C76" s="79" t="s">
        <v>90</v>
      </c>
      <c r="D76" s="81">
        <f>D74*2%</f>
        <v>99.6</v>
      </c>
      <c r="E76" s="81">
        <f>E74*2%</f>
        <v>19.05</v>
      </c>
      <c r="F76" s="81">
        <f>F74*2%</f>
        <v>1276.3900000000001</v>
      </c>
      <c r="G76" s="81">
        <f>G74*2%</f>
        <v>108.1</v>
      </c>
      <c r="H76" s="81">
        <v>1503.14</v>
      </c>
    </row>
    <row r="77" spans="1:10" ht="12.75" customHeight="1" x14ac:dyDescent="0.2">
      <c r="A77" s="80"/>
      <c r="B77" s="665" t="s">
        <v>71</v>
      </c>
      <c r="C77" s="666"/>
      <c r="D77" s="81">
        <f>D76</f>
        <v>99.6</v>
      </c>
      <c r="E77" s="81">
        <f>E76</f>
        <v>19.05</v>
      </c>
      <c r="F77" s="81">
        <f>F76</f>
        <v>1276.3900000000001</v>
      </c>
      <c r="G77" s="81">
        <f>G76</f>
        <v>108.1</v>
      </c>
      <c r="H77" s="81">
        <v>1503.14</v>
      </c>
    </row>
    <row r="78" spans="1:10" ht="12.75" customHeight="1" x14ac:dyDescent="0.2">
      <c r="A78" s="51"/>
      <c r="B78" s="665" t="s">
        <v>91</v>
      </c>
      <c r="C78" s="666"/>
      <c r="D78" s="107">
        <f>D74+D77</f>
        <v>5079.7299999999996</v>
      </c>
      <c r="E78" s="107">
        <f>E74+E77</f>
        <v>971.71</v>
      </c>
      <c r="F78" s="107">
        <f>F74+F77</f>
        <v>65095.77</v>
      </c>
      <c r="G78" s="107">
        <f>G74+G77</f>
        <v>5513</v>
      </c>
      <c r="H78" s="107">
        <f>SUM(D78:G78)</f>
        <v>76660.210000000006</v>
      </c>
    </row>
    <row r="79" spans="1:10" ht="148.5" customHeight="1" x14ac:dyDescent="0.2">
      <c r="A79" s="28"/>
      <c r="B79" s="653" t="s">
        <v>89</v>
      </c>
      <c r="C79" s="654"/>
      <c r="D79" s="29"/>
      <c r="E79" s="29"/>
      <c r="F79" s="29"/>
      <c r="G79" s="29"/>
      <c r="H79" s="29"/>
    </row>
    <row r="80" spans="1:10" ht="17.25" customHeight="1" x14ac:dyDescent="0.2">
      <c r="A80" s="28">
        <v>28</v>
      </c>
      <c r="B80" s="30"/>
      <c r="C80" s="30" t="s">
        <v>115</v>
      </c>
      <c r="D80" s="36">
        <f>D78*6.99</f>
        <v>35507.31</v>
      </c>
      <c r="E80" s="31"/>
      <c r="F80" s="31"/>
      <c r="G80" s="32"/>
      <c r="H80" s="36">
        <f>SUM(D80:G80)</f>
        <v>35507.31</v>
      </c>
    </row>
    <row r="81" spans="1:19" ht="17.25" customHeight="1" x14ac:dyDescent="0.2">
      <c r="A81" s="28">
        <v>29</v>
      </c>
      <c r="B81" s="30"/>
      <c r="C81" s="30" t="s">
        <v>108</v>
      </c>
      <c r="D81" s="31"/>
      <c r="E81" s="36">
        <f>E78*6.99</f>
        <v>6792.25</v>
      </c>
      <c r="F81" s="31"/>
      <c r="G81" s="32"/>
      <c r="H81" s="36">
        <f>SUM(D81:G81)</f>
        <v>6792.25</v>
      </c>
    </row>
    <row r="82" spans="1:19" ht="18" customHeight="1" x14ac:dyDescent="0.2">
      <c r="A82" s="28">
        <v>30</v>
      </c>
      <c r="B82" s="30"/>
      <c r="C82" s="30" t="s">
        <v>109</v>
      </c>
      <c r="D82" s="31"/>
      <c r="E82" s="31"/>
      <c r="F82" s="36">
        <f>F78*4.09</f>
        <v>266241.7</v>
      </c>
      <c r="G82" s="32"/>
      <c r="H82" s="36">
        <f>SUM(D82:G82)</f>
        <v>266241.7</v>
      </c>
    </row>
    <row r="83" spans="1:19" ht="13.5" customHeight="1" x14ac:dyDescent="0.2">
      <c r="A83" s="28">
        <v>31</v>
      </c>
      <c r="B83" s="34"/>
      <c r="C83" s="34" t="s">
        <v>100</v>
      </c>
      <c r="D83" s="31"/>
      <c r="E83" s="31"/>
      <c r="F83" s="31"/>
      <c r="G83" s="33">
        <f>G61*1.02*12.36</f>
        <v>616.87</v>
      </c>
      <c r="H83" s="36">
        <f>SUM(D83:G83)</f>
        <v>616.87</v>
      </c>
    </row>
    <row r="84" spans="1:19" s="92" customFormat="1" ht="25.5" x14ac:dyDescent="0.2">
      <c r="A84" s="28">
        <v>32</v>
      </c>
      <c r="B84" s="93"/>
      <c r="C84" s="93" t="s">
        <v>121</v>
      </c>
      <c r="D84" s="95"/>
      <c r="E84" s="95"/>
      <c r="F84" s="95"/>
      <c r="G84" s="96">
        <f>G28*10.79*1.02+G29*1.266*4.35*1.02</f>
        <v>145.41999999999999</v>
      </c>
      <c r="H84" s="36">
        <f>SUM(D84:G84)</f>
        <v>145.41999999999999</v>
      </c>
      <c r="I84" s="98">
        <f>(0.04*10.79*1.02+25.81*1.266*4.35*1.02)</f>
        <v>145.42124802000001</v>
      </c>
      <c r="J84" s="99"/>
      <c r="K84" s="98"/>
      <c r="L84" s="98"/>
      <c r="M84" s="98"/>
      <c r="N84" s="52"/>
      <c r="O84" s="52"/>
      <c r="P84" s="52"/>
      <c r="Q84" s="52"/>
      <c r="R84" s="52"/>
      <c r="S84" s="52"/>
    </row>
    <row r="85" spans="1:19" s="92" customFormat="1" ht="38.25" x14ac:dyDescent="0.2">
      <c r="A85" s="28">
        <v>33</v>
      </c>
      <c r="B85" s="93"/>
      <c r="C85" s="93" t="s">
        <v>122</v>
      </c>
      <c r="D85" s="95"/>
      <c r="E85" s="95"/>
      <c r="F85" s="95"/>
      <c r="G85" s="96">
        <f>(G56+G58+G59)*10.79*1.02+(H60+H62)*1.266*4.35*1.02</f>
        <v>15920.89</v>
      </c>
      <c r="H85" s="36">
        <f t="shared" ref="H85:H90" si="1">SUM(D85:G85)</f>
        <v>15920.89</v>
      </c>
      <c r="I85" s="98">
        <f>((23.98+45.03+549.27)*10.79*1.02+(25.63+1597.27)*1.266*4.35*1.02)</f>
        <v>15920.8880658</v>
      </c>
      <c r="J85" s="99"/>
      <c r="K85" s="98"/>
      <c r="L85" s="98"/>
      <c r="M85" s="98"/>
      <c r="N85" s="52"/>
      <c r="O85" s="52"/>
      <c r="P85" s="52"/>
      <c r="Q85" s="52"/>
      <c r="R85" s="52"/>
      <c r="S85" s="52"/>
    </row>
    <row r="86" spans="1:19" s="92" customFormat="1" ht="29.25" customHeight="1" x14ac:dyDescent="0.2">
      <c r="A86" s="28">
        <v>34</v>
      </c>
      <c r="B86" s="93"/>
      <c r="C86" s="100" t="s">
        <v>123</v>
      </c>
      <c r="D86" s="97"/>
      <c r="E86" s="97"/>
      <c r="F86" s="97"/>
      <c r="G86" s="96">
        <f>H66*10.79*1.02</f>
        <v>13986.61</v>
      </c>
      <c r="H86" s="36">
        <f t="shared" si="1"/>
        <v>13986.61</v>
      </c>
      <c r="I86" s="98">
        <f>(1270.9*10.79*1.02)</f>
        <v>13987.271220000001</v>
      </c>
      <c r="J86" s="679" t="s">
        <v>1414</v>
      </c>
      <c r="K86" s="680"/>
      <c r="L86" s="681"/>
      <c r="M86" s="467">
        <f>(H80+H81+H82+H83+H84+H85)/1.02*0.2%</f>
        <v>637.69000000000005</v>
      </c>
      <c r="N86" s="52"/>
      <c r="O86" s="52"/>
      <c r="P86" s="52"/>
      <c r="Q86" s="52"/>
      <c r="R86" s="52"/>
      <c r="S86" s="52"/>
    </row>
    <row r="87" spans="1:19" ht="15.75" customHeight="1" x14ac:dyDescent="0.2">
      <c r="A87" s="28">
        <v>35</v>
      </c>
      <c r="B87" s="34"/>
      <c r="C87" s="34" t="s">
        <v>124</v>
      </c>
      <c r="D87" s="31"/>
      <c r="E87" s="31"/>
      <c r="F87" s="31"/>
      <c r="G87" s="35">
        <f xml:space="preserve"> H69*1.02*1.266*4.35</f>
        <v>5173.09</v>
      </c>
      <c r="H87" s="36">
        <f t="shared" si="1"/>
        <v>5173.09</v>
      </c>
    </row>
    <row r="88" spans="1:19" ht="15.75" customHeight="1" x14ac:dyDescent="0.2">
      <c r="A88" s="28">
        <v>36</v>
      </c>
      <c r="B88" s="34"/>
      <c r="C88" s="34" t="s">
        <v>125</v>
      </c>
      <c r="D88" s="31"/>
      <c r="E88" s="31"/>
      <c r="F88" s="31"/>
      <c r="G88" s="35">
        <f>H70*1.19*4.27*1.02</f>
        <v>1796.14</v>
      </c>
      <c r="H88" s="36">
        <f t="shared" si="1"/>
        <v>1796.14</v>
      </c>
    </row>
    <row r="89" spans="1:19" s="92" customFormat="1" x14ac:dyDescent="0.2">
      <c r="A89" s="28">
        <v>37</v>
      </c>
      <c r="B89" s="93"/>
      <c r="C89" s="93" t="s">
        <v>126</v>
      </c>
      <c r="D89" s="95"/>
      <c r="E89" s="95"/>
      <c r="F89" s="95"/>
      <c r="G89" s="95">
        <f>G71*1.19*4.27*1.02</f>
        <v>2073.38</v>
      </c>
      <c r="H89" s="95">
        <v>22702.11</v>
      </c>
      <c r="I89" s="98"/>
      <c r="J89" s="99"/>
      <c r="K89" s="98"/>
      <c r="L89" s="98"/>
      <c r="M89" s="98"/>
      <c r="N89" s="52"/>
      <c r="O89" s="98"/>
      <c r="P89" s="52"/>
      <c r="Q89" s="52"/>
      <c r="R89" s="52"/>
      <c r="S89" s="52"/>
    </row>
    <row r="90" spans="1:19" ht="18" customHeight="1" x14ac:dyDescent="0.2">
      <c r="A90" s="28">
        <v>38</v>
      </c>
      <c r="B90" s="34"/>
      <c r="C90" s="34" t="s">
        <v>120</v>
      </c>
      <c r="D90" s="31"/>
      <c r="E90" s="31"/>
      <c r="F90" s="31"/>
      <c r="G90" s="33">
        <v>1011.72</v>
      </c>
      <c r="H90" s="36">
        <f t="shared" si="1"/>
        <v>1011.72</v>
      </c>
    </row>
    <row r="91" spans="1:19" ht="36.75" customHeight="1" x14ac:dyDescent="0.2">
      <c r="A91" s="28"/>
      <c r="B91" s="655" t="s">
        <v>93</v>
      </c>
      <c r="C91" s="656"/>
      <c r="D91" s="37">
        <f>SUM(D80:D90)</f>
        <v>35507.31</v>
      </c>
      <c r="E91" s="37">
        <f>SUM(E80:E90)</f>
        <v>6792.25</v>
      </c>
      <c r="F91" s="37">
        <f>SUM(F80:F90)</f>
        <v>266241.7</v>
      </c>
      <c r="G91" s="37">
        <f>SUM(G80:G90)</f>
        <v>40724.120000000003</v>
      </c>
      <c r="H91" s="37">
        <f>SUM(D91:G91)</f>
        <v>349265.38</v>
      </c>
    </row>
    <row r="92" spans="1:19" ht="15" customHeight="1" x14ac:dyDescent="0.2">
      <c r="A92" s="28">
        <v>39</v>
      </c>
      <c r="B92" s="34" t="s">
        <v>72</v>
      </c>
      <c r="C92" s="34" t="s">
        <v>75</v>
      </c>
      <c r="D92" s="111">
        <f>D91*20%</f>
        <v>7101.46</v>
      </c>
      <c r="E92" s="111">
        <f>E91*20%</f>
        <v>1358.45</v>
      </c>
      <c r="F92" s="111">
        <f>F91*20%</f>
        <v>53248.34</v>
      </c>
      <c r="G92" s="111">
        <f>G91*20%</f>
        <v>8144.82</v>
      </c>
      <c r="H92" s="111">
        <f>SUM(D92:G92)</f>
        <v>69853.070000000007</v>
      </c>
    </row>
    <row r="93" spans="1:19" ht="27" customHeight="1" x14ac:dyDescent="0.2">
      <c r="A93" s="38"/>
      <c r="B93" s="655" t="s">
        <v>87</v>
      </c>
      <c r="C93" s="657"/>
      <c r="D93" s="112">
        <f>SUM(D91:D92)</f>
        <v>42608.77</v>
      </c>
      <c r="E93" s="112">
        <f>SUM(E91:E92)</f>
        <v>8150.7</v>
      </c>
      <c r="F93" s="112">
        <f>SUM(F91:F92)</f>
        <v>319490.03999999998</v>
      </c>
      <c r="G93" s="112">
        <f>SUM(G91:G92)</f>
        <v>48868.94</v>
      </c>
      <c r="H93" s="112">
        <f>SUM(D93:G93)</f>
        <v>419118.45</v>
      </c>
      <c r="J93" s="105"/>
    </row>
    <row r="94" spans="1:19" s="58" customFormat="1" ht="25.5" x14ac:dyDescent="0.2">
      <c r="A94" s="54"/>
      <c r="B94" s="55"/>
      <c r="C94" s="55" t="s">
        <v>95</v>
      </c>
      <c r="D94" s="56"/>
      <c r="E94" s="56"/>
      <c r="F94" s="56"/>
      <c r="G94" s="57"/>
      <c r="H94" s="56"/>
    </row>
    <row r="95" spans="1:19" s="58" customFormat="1" x14ac:dyDescent="0.2">
      <c r="A95" s="54"/>
      <c r="B95" s="55"/>
      <c r="C95" s="55" t="s">
        <v>128</v>
      </c>
      <c r="D95" s="56"/>
      <c r="E95" s="56"/>
      <c r="F95" s="56"/>
      <c r="G95" s="113">
        <f>G69+G70+G71</f>
        <v>1667.52</v>
      </c>
      <c r="H95" s="113">
        <f>G95</f>
        <v>1667.52</v>
      </c>
    </row>
    <row r="96" spans="1:19" s="58" customFormat="1" x14ac:dyDescent="0.2">
      <c r="A96" s="54"/>
      <c r="B96" s="55"/>
      <c r="C96" s="55" t="s">
        <v>129</v>
      </c>
      <c r="D96" s="56"/>
      <c r="E96" s="56"/>
      <c r="F96" s="56"/>
      <c r="G96" s="113">
        <f>(G87+G88+G89)/1.02</f>
        <v>8865.2999999999993</v>
      </c>
      <c r="H96" s="113">
        <f>G96</f>
        <v>8865.2999999999993</v>
      </c>
    </row>
    <row r="97" spans="1:8" x14ac:dyDescent="0.2">
      <c r="A97" s="25"/>
      <c r="B97" s="26"/>
      <c r="C97" s="26"/>
      <c r="D97" s="39"/>
      <c r="E97" s="39"/>
      <c r="F97" s="39"/>
      <c r="G97" s="39"/>
      <c r="H97" s="39"/>
    </row>
    <row r="98" spans="1:8" hidden="1" x14ac:dyDescent="0.2">
      <c r="A98" s="25"/>
      <c r="B98" s="26"/>
      <c r="C98" s="26"/>
      <c r="D98" s="39"/>
      <c r="E98" s="39"/>
      <c r="F98" s="39"/>
      <c r="G98" s="39"/>
      <c r="H98" s="39"/>
    </row>
    <row r="99" spans="1:8" x14ac:dyDescent="0.2">
      <c r="A99" s="25"/>
      <c r="B99" s="26"/>
      <c r="C99" s="26"/>
      <c r="D99" s="39"/>
      <c r="E99" s="39"/>
      <c r="F99" s="39"/>
      <c r="G99" s="39"/>
      <c r="H99" s="39"/>
    </row>
    <row r="100" spans="1:8" x14ac:dyDescent="0.2">
      <c r="A100" s="25"/>
      <c r="B100" s="27"/>
      <c r="C100" s="658" t="s">
        <v>76</v>
      </c>
      <c r="D100" s="658"/>
      <c r="E100" s="40"/>
      <c r="F100" s="40"/>
      <c r="G100" s="659" t="s">
        <v>77</v>
      </c>
      <c r="H100" s="659"/>
    </row>
    <row r="101" spans="1:8" x14ac:dyDescent="0.2">
      <c r="A101" s="25"/>
      <c r="B101" s="41"/>
      <c r="C101" s="42" t="s">
        <v>78</v>
      </c>
      <c r="D101" s="43"/>
      <c r="E101" s="44" t="s">
        <v>79</v>
      </c>
      <c r="F101" s="45"/>
      <c r="G101" s="652" t="s">
        <v>80</v>
      </c>
      <c r="H101" s="652"/>
    </row>
    <row r="102" spans="1:8" x14ac:dyDescent="0.2">
      <c r="A102" s="25"/>
      <c r="B102" s="41"/>
      <c r="C102" s="42"/>
      <c r="D102" s="43"/>
      <c r="E102" s="44"/>
      <c r="F102" s="45"/>
      <c r="G102" s="44"/>
      <c r="H102" s="44"/>
    </row>
    <row r="103" spans="1:8" x14ac:dyDescent="0.2">
      <c r="A103" s="25"/>
      <c r="B103" s="41"/>
      <c r="C103" s="42"/>
      <c r="D103" s="43"/>
      <c r="E103" s="44"/>
      <c r="F103" s="45"/>
      <c r="G103" s="44"/>
      <c r="H103" s="44"/>
    </row>
    <row r="104" spans="1:8" x14ac:dyDescent="0.2">
      <c r="A104" s="25"/>
      <c r="B104" s="41"/>
      <c r="C104" s="42"/>
      <c r="D104" s="43"/>
      <c r="E104" s="44"/>
      <c r="F104" s="45"/>
      <c r="G104" s="44"/>
      <c r="H104" s="44"/>
    </row>
    <row r="105" spans="1:8" x14ac:dyDescent="0.2">
      <c r="A105" s="25"/>
      <c r="B105" s="27"/>
      <c r="C105" s="46"/>
      <c r="D105" s="47"/>
      <c r="E105" s="48"/>
      <c r="F105" s="48"/>
      <c r="G105" s="48"/>
      <c r="H105" s="48"/>
    </row>
    <row r="106" spans="1:8" x14ac:dyDescent="0.2">
      <c r="A106" s="25"/>
      <c r="B106" s="27" t="s">
        <v>81</v>
      </c>
      <c r="C106" s="49" t="s">
        <v>82</v>
      </c>
      <c r="D106" s="47"/>
      <c r="E106" s="48"/>
      <c r="F106" s="48"/>
      <c r="G106" s="48"/>
      <c r="H106" s="48"/>
    </row>
    <row r="107" spans="1:8" x14ac:dyDescent="0.2">
      <c r="A107" s="25"/>
      <c r="B107" s="27"/>
      <c r="C107" s="660" t="s">
        <v>83</v>
      </c>
      <c r="D107" s="660"/>
      <c r="E107" s="40"/>
      <c r="F107" s="40"/>
      <c r="G107" s="661" t="s">
        <v>84</v>
      </c>
      <c r="H107" s="661"/>
    </row>
    <row r="108" spans="1:8" x14ac:dyDescent="0.2">
      <c r="A108" s="25"/>
      <c r="B108" s="41"/>
      <c r="C108" s="42" t="s">
        <v>78</v>
      </c>
      <c r="D108" s="43"/>
      <c r="E108" s="44" t="s">
        <v>79</v>
      </c>
      <c r="F108" s="45"/>
      <c r="G108" s="662" t="s">
        <v>85</v>
      </c>
      <c r="H108" s="662"/>
    </row>
    <row r="109" spans="1:8" x14ac:dyDescent="0.2">
      <c r="A109" s="25"/>
      <c r="B109" s="41"/>
      <c r="C109" s="42"/>
      <c r="D109" s="43"/>
      <c r="E109" s="44"/>
      <c r="F109" s="45"/>
      <c r="G109" s="50"/>
      <c r="H109" s="50"/>
    </row>
    <row r="110" spans="1:8" x14ac:dyDescent="0.2">
      <c r="A110" s="25"/>
      <c r="B110" s="27"/>
      <c r="C110" s="660" t="s">
        <v>86</v>
      </c>
      <c r="D110" s="660"/>
      <c r="E110" s="40"/>
      <c r="F110" s="40"/>
      <c r="G110" s="659"/>
      <c r="H110" s="659"/>
    </row>
    <row r="111" spans="1:8" x14ac:dyDescent="0.2">
      <c r="A111" s="25"/>
      <c r="B111" s="41"/>
      <c r="C111" s="42" t="s">
        <v>78</v>
      </c>
      <c r="D111" s="43"/>
      <c r="E111" s="44" t="s">
        <v>79</v>
      </c>
      <c r="F111" s="45"/>
      <c r="G111" s="652" t="s">
        <v>80</v>
      </c>
      <c r="H111" s="652"/>
    </row>
    <row r="116" spans="5:5" x14ac:dyDescent="0.2">
      <c r="E116" s="53"/>
    </row>
  </sheetData>
  <mergeCells count="49">
    <mergeCell ref="B63:C63"/>
    <mergeCell ref="B64:C64"/>
    <mergeCell ref="A37:H37"/>
    <mergeCell ref="B41:C41"/>
    <mergeCell ref="A42:H42"/>
    <mergeCell ref="B47:C47"/>
    <mergeCell ref="B48:C48"/>
    <mergeCell ref="A49:H49"/>
    <mergeCell ref="B52:C52"/>
    <mergeCell ref="B53:C53"/>
    <mergeCell ref="A54:H54"/>
    <mergeCell ref="C10:G10"/>
    <mergeCell ref="C17:G17"/>
    <mergeCell ref="A22:A25"/>
    <mergeCell ref="B22:B25"/>
    <mergeCell ref="C22:C25"/>
    <mergeCell ref="D22:G22"/>
    <mergeCell ref="H22:H25"/>
    <mergeCell ref="D23:D25"/>
    <mergeCell ref="E23:E25"/>
    <mergeCell ref="F23:F25"/>
    <mergeCell ref="G23:G25"/>
    <mergeCell ref="A27:H27"/>
    <mergeCell ref="B31:C31"/>
    <mergeCell ref="A32:H32"/>
    <mergeCell ref="B44:C44"/>
    <mergeCell ref="A45:H45"/>
    <mergeCell ref="B36:C36"/>
    <mergeCell ref="B91:C91"/>
    <mergeCell ref="B93:C93"/>
    <mergeCell ref="B78:C78"/>
    <mergeCell ref="A75:H75"/>
    <mergeCell ref="B77:C77"/>
    <mergeCell ref="C100:D100"/>
    <mergeCell ref="G100:H100"/>
    <mergeCell ref="G111:H111"/>
    <mergeCell ref="G101:H101"/>
    <mergeCell ref="C107:D107"/>
    <mergeCell ref="G107:H107"/>
    <mergeCell ref="G108:H108"/>
    <mergeCell ref="C110:D110"/>
    <mergeCell ref="G110:H110"/>
    <mergeCell ref="J86:L86"/>
    <mergeCell ref="A65:H65"/>
    <mergeCell ref="B67:C67"/>
    <mergeCell ref="A68:H68"/>
    <mergeCell ref="B73:C73"/>
    <mergeCell ref="B74:C74"/>
    <mergeCell ref="B79:C79"/>
  </mergeCells>
  <pageMargins left="0.42" right="0.25" top="0.5" bottom="0.52" header="0.3" footer="0.3"/>
  <pageSetup paperSize="9" scale="78" fitToHeight="100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8"/>
  <sheetViews>
    <sheetView topLeftCell="A17" zoomScaleNormal="100" workbookViewId="0">
      <selection activeCell="A22" sqref="A22:XFD49"/>
    </sheetView>
  </sheetViews>
  <sheetFormatPr defaultRowHeight="12.75" outlineLevelRow="1" x14ac:dyDescent="0.2"/>
  <cols>
    <col min="1" max="1" width="6.42578125" customWidth="1"/>
    <col min="2" max="2" width="56.85546875" customWidth="1"/>
    <col min="3" max="3" width="16.140625" bestFit="1" customWidth="1"/>
    <col min="4" max="4" width="24" customWidth="1"/>
    <col min="5" max="5" width="18" customWidth="1"/>
    <col min="6" max="6" width="18.7109375" customWidth="1"/>
    <col min="7" max="7" width="29.140625" customWidth="1"/>
  </cols>
  <sheetData>
    <row r="1" spans="1:8" ht="39.75" customHeight="1" x14ac:dyDescent="0.2">
      <c r="A1" s="629" t="s">
        <v>1251</v>
      </c>
      <c r="B1" s="629"/>
      <c r="C1" s="629"/>
      <c r="D1" s="629"/>
      <c r="E1" s="629"/>
      <c r="F1" s="629"/>
    </row>
    <row r="2" spans="1:8" ht="110.25" x14ac:dyDescent="0.2">
      <c r="A2" s="149" t="s">
        <v>1</v>
      </c>
      <c r="B2" s="150" t="s">
        <v>246</v>
      </c>
      <c r="C2" s="150" t="s">
        <v>1204</v>
      </c>
      <c r="D2" s="682" t="s">
        <v>1276</v>
      </c>
      <c r="E2" s="682"/>
      <c r="F2" s="682" t="s">
        <v>1277</v>
      </c>
    </row>
    <row r="3" spans="1:8" ht="15.75" x14ac:dyDescent="0.2">
      <c r="A3" s="149"/>
      <c r="B3" s="150"/>
      <c r="C3" s="150"/>
      <c r="D3" s="348" t="s">
        <v>963</v>
      </c>
      <c r="E3" s="348" t="s">
        <v>964</v>
      </c>
      <c r="F3" s="682"/>
    </row>
    <row r="4" spans="1:8" ht="15.75" x14ac:dyDescent="0.2">
      <c r="A4" s="149"/>
      <c r="B4" s="149"/>
      <c r="C4" s="151">
        <v>3</v>
      </c>
      <c r="D4" s="182"/>
      <c r="E4" s="182"/>
      <c r="F4" s="182"/>
    </row>
    <row r="5" spans="1:8" ht="15.75" x14ac:dyDescent="0.2">
      <c r="A5" s="209">
        <v>1</v>
      </c>
      <c r="B5" s="153" t="s">
        <v>249</v>
      </c>
      <c r="C5" s="154">
        <v>2073377</v>
      </c>
      <c r="D5" s="346">
        <v>44256</v>
      </c>
      <c r="E5" s="346">
        <v>44348</v>
      </c>
      <c r="F5" s="182">
        <f>E5-D5</f>
        <v>92</v>
      </c>
      <c r="G5" s="219">
        <v>44196</v>
      </c>
      <c r="H5">
        <f>G5-D5</f>
        <v>-60</v>
      </c>
    </row>
    <row r="6" spans="1:8" ht="31.5" outlineLevel="1" x14ac:dyDescent="0.2">
      <c r="A6" s="206" t="s">
        <v>251</v>
      </c>
      <c r="B6" s="156" t="s">
        <v>252</v>
      </c>
      <c r="C6" s="240">
        <v>2032723</v>
      </c>
      <c r="D6" s="346">
        <f>D5</f>
        <v>44256</v>
      </c>
      <c r="E6" s="346">
        <f>E5</f>
        <v>44348</v>
      </c>
      <c r="F6" s="182">
        <f>E6-D6</f>
        <v>92</v>
      </c>
    </row>
    <row r="7" spans="1:8" ht="15.75" outlineLevel="1" x14ac:dyDescent="0.2">
      <c r="A7" s="206" t="s">
        <v>961</v>
      </c>
      <c r="B7" s="100" t="s">
        <v>1209</v>
      </c>
      <c r="C7" s="311">
        <v>40654</v>
      </c>
      <c r="D7" s="346">
        <f>D5</f>
        <v>44256</v>
      </c>
      <c r="E7" s="346">
        <f>E5</f>
        <v>44348</v>
      </c>
      <c r="F7" s="182">
        <f>E7-D7</f>
        <v>92</v>
      </c>
    </row>
    <row r="8" spans="1:8" ht="15.75" outlineLevel="1" x14ac:dyDescent="0.25">
      <c r="A8" s="206"/>
      <c r="B8" s="341" t="s">
        <v>1253</v>
      </c>
      <c r="C8" s="342"/>
      <c r="D8" s="342"/>
      <c r="E8" s="342"/>
      <c r="F8" s="182"/>
    </row>
    <row r="9" spans="1:8" ht="15.75" outlineLevel="1" x14ac:dyDescent="0.25">
      <c r="A9" s="206"/>
      <c r="B9" s="341" t="s">
        <v>1254</v>
      </c>
      <c r="C9" s="342"/>
      <c r="D9" s="342"/>
      <c r="E9" s="342"/>
      <c r="F9" s="182"/>
    </row>
    <row r="10" spans="1:8" ht="15.75" outlineLevel="1" x14ac:dyDescent="0.25">
      <c r="A10" s="206"/>
      <c r="B10" s="341" t="s">
        <v>1255</v>
      </c>
      <c r="C10" s="340"/>
      <c r="D10" s="350">
        <v>103.6</v>
      </c>
      <c r="E10" s="342"/>
      <c r="F10" s="182"/>
    </row>
    <row r="11" spans="1:8" ht="30" outlineLevel="1" x14ac:dyDescent="0.25">
      <c r="A11" s="206"/>
      <c r="B11" s="341" t="s">
        <v>1278</v>
      </c>
      <c r="C11" s="349" t="s">
        <v>1268</v>
      </c>
      <c r="D11" s="351">
        <f>(D10-100)/12*6/100+1</f>
        <v>1.018</v>
      </c>
      <c r="F11" s="182"/>
    </row>
    <row r="12" spans="1:8" ht="15.75" outlineLevel="1" x14ac:dyDescent="0.25">
      <c r="A12" s="206"/>
      <c r="B12" s="341" t="s">
        <v>1257</v>
      </c>
      <c r="C12" s="343" t="s">
        <v>1268</v>
      </c>
      <c r="D12" s="351">
        <f>(D10-100)/12*7/100+1</f>
        <v>1.0209999999999999</v>
      </c>
      <c r="F12" s="182"/>
    </row>
    <row r="13" spans="1:8" ht="15.75" outlineLevel="1" x14ac:dyDescent="0.25">
      <c r="A13" s="206"/>
      <c r="B13" s="341" t="s">
        <v>1258</v>
      </c>
      <c r="C13" s="343" t="s">
        <v>1285</v>
      </c>
      <c r="D13" s="351">
        <f>(D11+D12)/2</f>
        <v>1.02</v>
      </c>
      <c r="F13" s="182"/>
    </row>
    <row r="14" spans="1:8" ht="15.75" outlineLevel="1" x14ac:dyDescent="0.25">
      <c r="A14" s="206"/>
      <c r="B14" s="341" t="s">
        <v>1259</v>
      </c>
      <c r="C14" s="343">
        <v>103.7</v>
      </c>
      <c r="D14" s="345"/>
      <c r="F14" s="182"/>
    </row>
    <row r="15" spans="1:8" ht="15.75" outlineLevel="1" x14ac:dyDescent="0.25">
      <c r="A15" s="206"/>
      <c r="B15" s="341" t="s">
        <v>1279</v>
      </c>
      <c r="C15" s="344"/>
      <c r="D15" s="345">
        <v>1</v>
      </c>
      <c r="F15" s="182"/>
    </row>
    <row r="16" spans="1:8" ht="15.75" outlineLevel="1" x14ac:dyDescent="0.25">
      <c r="A16" s="206"/>
      <c r="B16" s="341" t="s">
        <v>1280</v>
      </c>
      <c r="C16" s="344" t="s">
        <v>1265</v>
      </c>
      <c r="D16" s="345">
        <f>(C14-100)/12*2/100+1</f>
        <v>1.006</v>
      </c>
      <c r="F16" s="182"/>
    </row>
    <row r="17" spans="1:6" ht="15.75" outlineLevel="1" x14ac:dyDescent="0.25">
      <c r="A17" s="206"/>
      <c r="B17" s="341" t="s">
        <v>1261</v>
      </c>
      <c r="C17" s="344" t="s">
        <v>1281</v>
      </c>
      <c r="D17" s="345">
        <f>(D15+D16)/2*D12</f>
        <v>1.024</v>
      </c>
      <c r="F17" s="182"/>
    </row>
    <row r="18" spans="1:6" ht="15.75" outlineLevel="1" x14ac:dyDescent="0.25">
      <c r="A18" s="206"/>
      <c r="B18" s="341" t="s">
        <v>1262</v>
      </c>
      <c r="C18" s="342" t="s">
        <v>1282</v>
      </c>
      <c r="D18" s="353">
        <f>H5/F5</f>
        <v>-0.65</v>
      </c>
      <c r="F18" s="182"/>
    </row>
    <row r="19" spans="1:6" ht="15.75" outlineLevel="1" x14ac:dyDescent="0.25">
      <c r="A19" s="206"/>
      <c r="B19" s="341" t="s">
        <v>1263</v>
      </c>
      <c r="C19" s="342" t="s">
        <v>1283</v>
      </c>
      <c r="D19" s="353">
        <f>60/90</f>
        <v>0.67</v>
      </c>
      <c r="F19" s="182"/>
    </row>
    <row r="20" spans="1:6" ht="30" outlineLevel="1" x14ac:dyDescent="0.25">
      <c r="A20" s="206"/>
      <c r="B20" s="341" t="s">
        <v>1264</v>
      </c>
      <c r="C20" s="352" t="s">
        <v>1284</v>
      </c>
      <c r="D20" s="351">
        <f>D18*D13+D19*D17</f>
        <v>2.3E-2</v>
      </c>
      <c r="F20" s="182"/>
    </row>
    <row r="21" spans="1:6" ht="31.5" x14ac:dyDescent="0.2">
      <c r="A21" s="210" t="s">
        <v>253</v>
      </c>
      <c r="B21" s="153" t="s">
        <v>254</v>
      </c>
      <c r="C21" s="154">
        <v>113104746</v>
      </c>
      <c r="D21" s="453">
        <v>44348</v>
      </c>
      <c r="E21" s="453">
        <f>E202</f>
        <v>44484</v>
      </c>
      <c r="F21" s="454">
        <f t="shared" ref="F21:F230" si="0">E21-D21</f>
        <v>136</v>
      </c>
    </row>
    <row r="22" spans="1:6" ht="31.5" x14ac:dyDescent="0.2">
      <c r="A22" s="256" t="s">
        <v>255</v>
      </c>
      <c r="B22" s="284" t="s">
        <v>966</v>
      </c>
      <c r="C22" s="277">
        <v>2566181</v>
      </c>
      <c r="D22" s="452">
        <f>D21</f>
        <v>44348</v>
      </c>
      <c r="E22" s="452">
        <v>44378</v>
      </c>
      <c r="F22" s="455">
        <f t="shared" si="0"/>
        <v>30</v>
      </c>
    </row>
    <row r="23" spans="1:6" ht="15.75" x14ac:dyDescent="0.25">
      <c r="A23" s="256"/>
      <c r="B23" s="341" t="s">
        <v>1253</v>
      </c>
      <c r="C23" s="342"/>
      <c r="D23" s="342"/>
      <c r="E23" s="346"/>
      <c r="F23" s="182"/>
    </row>
    <row r="24" spans="1:6" ht="15.75" x14ac:dyDescent="0.25">
      <c r="A24" s="256"/>
      <c r="B24" s="341" t="s">
        <v>1254</v>
      </c>
      <c r="C24" s="342"/>
      <c r="D24" s="342"/>
      <c r="E24" s="346"/>
      <c r="F24" s="182"/>
    </row>
    <row r="25" spans="1:6" ht="15.75" x14ac:dyDescent="0.25">
      <c r="A25" s="256"/>
      <c r="B25" s="341" t="s">
        <v>1255</v>
      </c>
      <c r="C25" s="340"/>
      <c r="D25" s="350">
        <v>103.6</v>
      </c>
      <c r="E25" s="346"/>
      <c r="F25" s="182"/>
    </row>
    <row r="26" spans="1:6" ht="15.75" x14ac:dyDescent="0.25">
      <c r="A26" s="256"/>
      <c r="B26" s="341" t="s">
        <v>1257</v>
      </c>
      <c r="C26" s="343" t="s">
        <v>1268</v>
      </c>
      <c r="D26" s="345">
        <f>(D25-100)/12*7/100+1</f>
        <v>1.0209999999999999</v>
      </c>
      <c r="E26" s="346"/>
      <c r="F26" s="182"/>
    </row>
    <row r="27" spans="1:6" ht="15.75" x14ac:dyDescent="0.25">
      <c r="A27" s="256"/>
      <c r="B27" s="341" t="s">
        <v>1259</v>
      </c>
      <c r="C27" s="343">
        <v>103.7</v>
      </c>
      <c r="D27" s="345"/>
      <c r="E27" s="346"/>
      <c r="F27" s="182"/>
    </row>
    <row r="28" spans="1:6" ht="15.75" x14ac:dyDescent="0.25">
      <c r="A28" s="256"/>
      <c r="B28" s="341" t="s">
        <v>1286</v>
      </c>
      <c r="C28" s="344" t="s">
        <v>1260</v>
      </c>
      <c r="D28" s="345">
        <f>(C27-100)/12*3/100+1</f>
        <v>1.0089999999999999</v>
      </c>
      <c r="E28" s="346"/>
      <c r="F28" s="182"/>
    </row>
    <row r="29" spans="1:6" ht="15.75" x14ac:dyDescent="0.25">
      <c r="A29" s="256"/>
      <c r="B29" s="341" t="s">
        <v>1287</v>
      </c>
      <c r="C29" s="344" t="s">
        <v>1270</v>
      </c>
      <c r="D29" s="345">
        <f>(C27-100)/12*5/100+1</f>
        <v>1.0149999999999999</v>
      </c>
      <c r="E29" s="346"/>
      <c r="F29" s="182"/>
    </row>
    <row r="30" spans="1:6" ht="30" x14ac:dyDescent="0.25">
      <c r="A30" s="256"/>
      <c r="B30" s="341" t="s">
        <v>1288</v>
      </c>
      <c r="C30" s="352" t="s">
        <v>1289</v>
      </c>
      <c r="D30" s="351">
        <f>D26*(D28+D29)/2</f>
        <v>1.0329999999999999</v>
      </c>
      <c r="E30" s="346"/>
      <c r="F30" s="182"/>
    </row>
    <row r="31" spans="1:6" ht="31.5" x14ac:dyDescent="0.2">
      <c r="A31" s="256" t="s">
        <v>259</v>
      </c>
      <c r="B31" s="161" t="s">
        <v>968</v>
      </c>
      <c r="C31" s="158">
        <v>5903129</v>
      </c>
      <c r="D31" s="346">
        <f>E22</f>
        <v>44378</v>
      </c>
      <c r="E31" s="346">
        <v>44409</v>
      </c>
      <c r="F31" s="182">
        <f t="shared" si="0"/>
        <v>31</v>
      </c>
    </row>
    <row r="32" spans="1:6" ht="15.75" x14ac:dyDescent="0.25">
      <c r="A32" s="256"/>
      <c r="B32" s="341" t="s">
        <v>1253</v>
      </c>
      <c r="C32" s="342"/>
      <c r="D32" s="342"/>
      <c r="E32" s="346"/>
      <c r="F32" s="182"/>
    </row>
    <row r="33" spans="1:6" ht="15.75" x14ac:dyDescent="0.25">
      <c r="A33" s="256"/>
      <c r="B33" s="341" t="s">
        <v>1254</v>
      </c>
      <c r="C33" s="342"/>
      <c r="D33" s="342"/>
      <c r="E33" s="346"/>
      <c r="F33" s="182"/>
    </row>
    <row r="34" spans="1:6" ht="15.75" x14ac:dyDescent="0.25">
      <c r="A34" s="256"/>
      <c r="B34" s="341" t="s">
        <v>1255</v>
      </c>
      <c r="C34" s="340"/>
      <c r="D34" s="350">
        <v>103.6</v>
      </c>
      <c r="E34" s="346"/>
      <c r="F34" s="182"/>
    </row>
    <row r="35" spans="1:6" ht="15.75" x14ac:dyDescent="0.25">
      <c r="A35" s="256"/>
      <c r="B35" s="341" t="s">
        <v>1257</v>
      </c>
      <c r="C35" s="343" t="s">
        <v>1268</v>
      </c>
      <c r="D35" s="345">
        <f>(D34-100)/12*7/100+1</f>
        <v>1.0209999999999999</v>
      </c>
      <c r="E35" s="346"/>
      <c r="F35" s="182"/>
    </row>
    <row r="36" spans="1:6" ht="15.75" x14ac:dyDescent="0.25">
      <c r="A36" s="256"/>
      <c r="B36" s="341" t="s">
        <v>1259</v>
      </c>
      <c r="C36" s="343">
        <v>103.7</v>
      </c>
      <c r="D36" s="345"/>
      <c r="E36" s="346"/>
      <c r="F36" s="182"/>
    </row>
    <row r="37" spans="1:6" ht="15.75" x14ac:dyDescent="0.25">
      <c r="A37" s="256"/>
      <c r="B37" s="341" t="s">
        <v>1287</v>
      </c>
      <c r="C37" s="344" t="s">
        <v>1270</v>
      </c>
      <c r="D37" s="345">
        <f>(C36-100)/12*5/100+1</f>
        <v>1.0149999999999999</v>
      </c>
      <c r="E37" s="346"/>
      <c r="F37" s="182"/>
    </row>
    <row r="38" spans="1:6" ht="15.75" x14ac:dyDescent="0.25">
      <c r="A38" s="256"/>
      <c r="B38" s="341" t="s">
        <v>1290</v>
      </c>
      <c r="C38" s="344" t="s">
        <v>1291</v>
      </c>
      <c r="D38" s="345">
        <f>(C36-100)/12*6/100+1</f>
        <v>1.0189999999999999</v>
      </c>
      <c r="E38" s="346"/>
      <c r="F38" s="182"/>
    </row>
    <row r="39" spans="1:6" ht="30" x14ac:dyDescent="0.25">
      <c r="A39" s="256"/>
      <c r="B39" s="341" t="s">
        <v>1288</v>
      </c>
      <c r="C39" s="352" t="s">
        <v>1297</v>
      </c>
      <c r="D39" s="351">
        <f>D35*(D37+D38)/2</f>
        <v>1.038</v>
      </c>
      <c r="E39" s="346"/>
      <c r="F39" s="182"/>
    </row>
    <row r="40" spans="1:6" ht="15.75" x14ac:dyDescent="0.2">
      <c r="A40" s="257" t="s">
        <v>277</v>
      </c>
      <c r="B40" s="254" t="s">
        <v>972</v>
      </c>
      <c r="C40" s="158">
        <v>4169179</v>
      </c>
      <c r="D40" s="346">
        <f>E22</f>
        <v>44378</v>
      </c>
      <c r="E40" s="346">
        <f>E31</f>
        <v>44409</v>
      </c>
      <c r="F40" s="182">
        <f t="shared" si="0"/>
        <v>31</v>
      </c>
    </row>
    <row r="41" spans="1:6" ht="15.75" x14ac:dyDescent="0.25">
      <c r="A41" s="258"/>
      <c r="B41" s="341" t="s">
        <v>1253</v>
      </c>
      <c r="C41" s="342"/>
      <c r="D41" s="342"/>
      <c r="E41" s="346"/>
      <c r="F41" s="182"/>
    </row>
    <row r="42" spans="1:6" ht="15.75" x14ac:dyDescent="0.25">
      <c r="A42" s="258"/>
      <c r="B42" s="341" t="s">
        <v>1254</v>
      </c>
      <c r="C42" s="342"/>
      <c r="D42" s="342"/>
      <c r="E42" s="346"/>
      <c r="F42" s="182"/>
    </row>
    <row r="43" spans="1:6" ht="15.75" x14ac:dyDescent="0.25">
      <c r="A43" s="258"/>
      <c r="B43" s="341" t="s">
        <v>1255</v>
      </c>
      <c r="C43" s="340"/>
      <c r="D43" s="350">
        <v>103.6</v>
      </c>
      <c r="E43" s="346"/>
      <c r="F43" s="182"/>
    </row>
    <row r="44" spans="1:6" ht="15.75" x14ac:dyDescent="0.25">
      <c r="A44" s="258"/>
      <c r="B44" s="341" t="s">
        <v>1257</v>
      </c>
      <c r="C44" s="343" t="s">
        <v>1268</v>
      </c>
      <c r="D44" s="345">
        <f>(D43-100)/12*7/100+1</f>
        <v>1.0209999999999999</v>
      </c>
      <c r="E44" s="346"/>
      <c r="F44" s="182"/>
    </row>
    <row r="45" spans="1:6" ht="15.75" x14ac:dyDescent="0.25">
      <c r="A45" s="258"/>
      <c r="B45" s="341" t="s">
        <v>1259</v>
      </c>
      <c r="C45" s="343">
        <v>103.7</v>
      </c>
      <c r="D45" s="345"/>
      <c r="E45" s="346"/>
      <c r="F45" s="182"/>
    </row>
    <row r="46" spans="1:6" ht="15.75" x14ac:dyDescent="0.25">
      <c r="A46" s="258"/>
      <c r="B46" s="341" t="s">
        <v>1292</v>
      </c>
      <c r="C46" s="344" t="s">
        <v>1270</v>
      </c>
      <c r="D46" s="345">
        <f>(C45-100)/12*5/100+1</f>
        <v>1.0149999999999999</v>
      </c>
      <c r="E46" s="346"/>
      <c r="F46" s="182"/>
    </row>
    <row r="47" spans="1:6" ht="15.75" x14ac:dyDescent="0.25">
      <c r="A47" s="258"/>
      <c r="B47" s="341" t="s">
        <v>1293</v>
      </c>
      <c r="C47" s="344" t="s">
        <v>1291</v>
      </c>
      <c r="D47" s="345">
        <f>(C45-100)/12*6/100+1</f>
        <v>1.0189999999999999</v>
      </c>
      <c r="E47" s="346"/>
      <c r="F47" s="182"/>
    </row>
    <row r="48" spans="1:6" ht="30" x14ac:dyDescent="0.25">
      <c r="A48" s="258"/>
      <c r="B48" s="341" t="s">
        <v>1288</v>
      </c>
      <c r="C48" s="352" t="s">
        <v>1297</v>
      </c>
      <c r="D48" s="351">
        <f>D44*(D46+D47)/2</f>
        <v>1.038</v>
      </c>
      <c r="E48" s="346"/>
      <c r="F48" s="182"/>
    </row>
    <row r="49" spans="1:6" ht="25.5" x14ac:dyDescent="0.2">
      <c r="A49" s="258" t="s">
        <v>281</v>
      </c>
      <c r="B49" s="253" t="s">
        <v>978</v>
      </c>
      <c r="C49" s="162">
        <v>7205119</v>
      </c>
      <c r="D49" s="346">
        <v>44392</v>
      </c>
      <c r="E49" s="346">
        <v>44423</v>
      </c>
      <c r="F49" s="182">
        <f t="shared" si="0"/>
        <v>31</v>
      </c>
    </row>
    <row r="50" spans="1:6" ht="15.75" x14ac:dyDescent="0.25">
      <c r="A50" s="258"/>
      <c r="B50" s="341" t="s">
        <v>1253</v>
      </c>
      <c r="C50" s="342"/>
      <c r="D50" s="342"/>
      <c r="E50" s="346"/>
      <c r="F50" s="182"/>
    </row>
    <row r="51" spans="1:6" ht="15.75" x14ac:dyDescent="0.25">
      <c r="A51" s="258"/>
      <c r="B51" s="341" t="s">
        <v>1254</v>
      </c>
      <c r="C51" s="342"/>
      <c r="D51" s="342"/>
      <c r="E51" s="346"/>
      <c r="F51" s="182"/>
    </row>
    <row r="52" spans="1:6" ht="15.75" x14ac:dyDescent="0.25">
      <c r="A52" s="258"/>
      <c r="B52" s="341" t="s">
        <v>1255</v>
      </c>
      <c r="C52" s="340"/>
      <c r="D52" s="350">
        <v>103.6</v>
      </c>
      <c r="E52" s="346"/>
      <c r="F52" s="182"/>
    </row>
    <row r="53" spans="1:6" ht="15.75" x14ac:dyDescent="0.25">
      <c r="A53" s="258"/>
      <c r="B53" s="341" t="s">
        <v>1257</v>
      </c>
      <c r="C53" s="343" t="s">
        <v>1268</v>
      </c>
      <c r="D53" s="345">
        <f>(D52-100)/12*7/100+1</f>
        <v>1.0209999999999999</v>
      </c>
      <c r="E53" s="346"/>
      <c r="F53" s="182"/>
    </row>
    <row r="54" spans="1:6" ht="15.75" x14ac:dyDescent="0.25">
      <c r="A54" s="258"/>
      <c r="B54" s="341" t="s">
        <v>1259</v>
      </c>
      <c r="C54" s="343">
        <v>103.7</v>
      </c>
      <c r="D54" s="345"/>
      <c r="E54" s="346"/>
      <c r="F54" s="182"/>
    </row>
    <row r="55" spans="1:6" ht="15.75" x14ac:dyDescent="0.25">
      <c r="A55" s="258"/>
      <c r="B55" s="341" t="s">
        <v>1294</v>
      </c>
      <c r="C55" s="344" t="s">
        <v>1291</v>
      </c>
      <c r="D55" s="345">
        <f>(C54-100)/12*6/100+1</f>
        <v>1.0189999999999999</v>
      </c>
      <c r="E55" s="346"/>
      <c r="F55" s="182"/>
    </row>
    <row r="56" spans="1:6" ht="15.75" x14ac:dyDescent="0.25">
      <c r="A56" s="258"/>
      <c r="B56" s="341" t="s">
        <v>1295</v>
      </c>
      <c r="C56" s="344" t="s">
        <v>1267</v>
      </c>
      <c r="D56" s="345">
        <f>(C54-100)/12*7/100+1</f>
        <v>1.022</v>
      </c>
      <c r="E56" s="346"/>
      <c r="F56" s="182"/>
    </row>
    <row r="57" spans="1:6" ht="30" x14ac:dyDescent="0.25">
      <c r="A57" s="258"/>
      <c r="B57" s="341" t="s">
        <v>1288</v>
      </c>
      <c r="C57" s="352" t="s">
        <v>1296</v>
      </c>
      <c r="D57" s="351">
        <f>D53*(D55+D56)/2</f>
        <v>1.042</v>
      </c>
      <c r="E57" s="346"/>
      <c r="F57" s="182"/>
    </row>
    <row r="58" spans="1:6" ht="15.75" x14ac:dyDescent="0.2">
      <c r="A58" s="258" t="s">
        <v>292</v>
      </c>
      <c r="B58" s="255" t="s">
        <v>1013</v>
      </c>
      <c r="C58" s="277">
        <v>15802890</v>
      </c>
      <c r="D58" s="346">
        <v>44409</v>
      </c>
      <c r="E58" s="346">
        <v>44423</v>
      </c>
      <c r="F58" s="182">
        <f t="shared" si="0"/>
        <v>14</v>
      </c>
    </row>
    <row r="59" spans="1:6" ht="15.75" x14ac:dyDescent="0.25">
      <c r="A59" s="258"/>
      <c r="B59" s="341" t="s">
        <v>1253</v>
      </c>
      <c r="C59" s="342"/>
      <c r="D59" s="342"/>
      <c r="E59" s="346"/>
      <c r="F59" s="182"/>
    </row>
    <row r="60" spans="1:6" ht="15.75" x14ac:dyDescent="0.25">
      <c r="A60" s="258"/>
      <c r="B60" s="341" t="s">
        <v>1254</v>
      </c>
      <c r="C60" s="342"/>
      <c r="D60" s="342"/>
      <c r="E60" s="346"/>
      <c r="F60" s="182"/>
    </row>
    <row r="61" spans="1:6" ht="15.75" x14ac:dyDescent="0.25">
      <c r="A61" s="258"/>
      <c r="B61" s="341" t="s">
        <v>1255</v>
      </c>
      <c r="C61" s="340"/>
      <c r="D61" s="350">
        <v>103.6</v>
      </c>
      <c r="E61" s="346"/>
      <c r="F61" s="182"/>
    </row>
    <row r="62" spans="1:6" ht="15.75" x14ac:dyDescent="0.25">
      <c r="A62" s="258"/>
      <c r="B62" s="341" t="s">
        <v>1257</v>
      </c>
      <c r="C62" s="343" t="s">
        <v>1268</v>
      </c>
      <c r="D62" s="345">
        <f>(D61-100)/12*7/100+1</f>
        <v>1.0209999999999999</v>
      </c>
      <c r="E62" s="346"/>
      <c r="F62" s="182"/>
    </row>
    <row r="63" spans="1:6" ht="15.75" x14ac:dyDescent="0.25">
      <c r="A63" s="258"/>
      <c r="B63" s="341" t="s">
        <v>1259</v>
      </c>
      <c r="C63" s="343">
        <v>103.7</v>
      </c>
      <c r="D63" s="345"/>
      <c r="E63" s="346"/>
      <c r="F63" s="182"/>
    </row>
    <row r="64" spans="1:6" ht="15.75" x14ac:dyDescent="0.25">
      <c r="A64" s="258"/>
      <c r="B64" s="341" t="s">
        <v>1290</v>
      </c>
      <c r="C64" s="344" t="s">
        <v>1291</v>
      </c>
      <c r="D64" s="345">
        <f>(C63-100)/12*6/100+1</f>
        <v>1.0189999999999999</v>
      </c>
      <c r="E64" s="346"/>
      <c r="F64" s="182"/>
    </row>
    <row r="65" spans="1:7" ht="15.75" x14ac:dyDescent="0.25">
      <c r="A65" s="258"/>
      <c r="B65" s="341" t="s">
        <v>1298</v>
      </c>
      <c r="C65" s="344" t="s">
        <v>1267</v>
      </c>
      <c r="D65" s="345">
        <f>(C63-100)/12*7/100+1</f>
        <v>1.022</v>
      </c>
      <c r="E65" s="346"/>
      <c r="F65" s="182"/>
    </row>
    <row r="66" spans="1:7" ht="30" x14ac:dyDescent="0.25">
      <c r="A66" s="258"/>
      <c r="B66" s="341" t="s">
        <v>1288</v>
      </c>
      <c r="C66" s="352" t="s">
        <v>1296</v>
      </c>
      <c r="D66" s="351">
        <f>D62*(D64+D65)/2</f>
        <v>1.042</v>
      </c>
      <c r="E66" s="346"/>
      <c r="F66" s="182"/>
    </row>
    <row r="67" spans="1:7" ht="15.75" x14ac:dyDescent="0.2">
      <c r="A67" s="258" t="s">
        <v>293</v>
      </c>
      <c r="B67" s="255" t="s">
        <v>1012</v>
      </c>
      <c r="C67" s="158">
        <v>3285357</v>
      </c>
      <c r="D67" s="346">
        <v>44423</v>
      </c>
      <c r="E67" s="346">
        <v>44440</v>
      </c>
      <c r="F67" s="182">
        <f t="shared" si="0"/>
        <v>17</v>
      </c>
      <c r="G67" s="219"/>
    </row>
    <row r="68" spans="1:7" ht="15.75" x14ac:dyDescent="0.25">
      <c r="A68" s="258"/>
      <c r="B68" s="341" t="s">
        <v>1253</v>
      </c>
      <c r="C68" s="342"/>
      <c r="D68" s="342"/>
      <c r="E68" s="346"/>
      <c r="F68" s="182"/>
    </row>
    <row r="69" spans="1:7" ht="15.75" x14ac:dyDescent="0.25">
      <c r="A69" s="258"/>
      <c r="B69" s="341" t="s">
        <v>1254</v>
      </c>
      <c r="C69" s="342"/>
      <c r="D69" s="342"/>
      <c r="E69" s="346"/>
      <c r="F69" s="182"/>
    </row>
    <row r="70" spans="1:7" ht="15.75" x14ac:dyDescent="0.25">
      <c r="A70" s="258"/>
      <c r="B70" s="341" t="s">
        <v>1255</v>
      </c>
      <c r="C70" s="340"/>
      <c r="D70" s="350">
        <v>103.6</v>
      </c>
      <c r="E70" s="346"/>
      <c r="F70" s="182"/>
    </row>
    <row r="71" spans="1:7" ht="15.75" x14ac:dyDescent="0.25">
      <c r="A71" s="258"/>
      <c r="B71" s="341" t="s">
        <v>1257</v>
      </c>
      <c r="C71" s="343" t="s">
        <v>1268</v>
      </c>
      <c r="D71" s="345">
        <f>(D70-100)/12*7/100+1</f>
        <v>1.0209999999999999</v>
      </c>
      <c r="E71" s="346"/>
      <c r="F71" s="182"/>
    </row>
    <row r="72" spans="1:7" ht="15.75" x14ac:dyDescent="0.25">
      <c r="A72" s="258"/>
      <c r="B72" s="341" t="s">
        <v>1259</v>
      </c>
      <c r="C72" s="343">
        <v>103.7</v>
      </c>
      <c r="D72" s="345"/>
      <c r="E72" s="346"/>
      <c r="F72" s="182"/>
    </row>
    <row r="73" spans="1:7" ht="15.75" x14ac:dyDescent="0.25">
      <c r="A73" s="258"/>
      <c r="B73" s="341" t="s">
        <v>1295</v>
      </c>
      <c r="C73" s="344" t="s">
        <v>1267</v>
      </c>
      <c r="D73" s="345">
        <f>(C72-100)/12*7/100+1</f>
        <v>1.022</v>
      </c>
      <c r="E73" s="346"/>
      <c r="F73" s="182"/>
    </row>
    <row r="74" spans="1:7" ht="15.75" x14ac:dyDescent="0.25">
      <c r="A74" s="258"/>
      <c r="B74" s="341" t="s">
        <v>1299</v>
      </c>
      <c r="C74" s="344" t="s">
        <v>1267</v>
      </c>
      <c r="D74" s="345">
        <f>(C72-100)/12*7/100+1</f>
        <v>1.022</v>
      </c>
      <c r="E74" s="346"/>
      <c r="F74" s="182"/>
    </row>
    <row r="75" spans="1:7" ht="30" x14ac:dyDescent="0.25">
      <c r="A75" s="258"/>
      <c r="B75" s="341" t="s">
        <v>1288</v>
      </c>
      <c r="C75" s="352" t="s">
        <v>1300</v>
      </c>
      <c r="D75" s="351">
        <f>D71*(D73+D74)/2</f>
        <v>1.0429999999999999</v>
      </c>
      <c r="E75" s="346"/>
      <c r="F75" s="182"/>
    </row>
    <row r="76" spans="1:7" ht="25.5" x14ac:dyDescent="0.2">
      <c r="A76" s="258" t="s">
        <v>294</v>
      </c>
      <c r="B76" s="255" t="s">
        <v>1080</v>
      </c>
      <c r="C76" s="332">
        <v>193485</v>
      </c>
      <c r="D76" s="346">
        <v>44440</v>
      </c>
      <c r="E76" s="346">
        <v>44449</v>
      </c>
      <c r="F76" s="182">
        <f t="shared" si="0"/>
        <v>9</v>
      </c>
    </row>
    <row r="77" spans="1:7" ht="15.75" x14ac:dyDescent="0.25">
      <c r="A77" s="258"/>
      <c r="B77" s="341" t="s">
        <v>1253</v>
      </c>
      <c r="C77" s="342"/>
      <c r="D77" s="342"/>
      <c r="E77" s="346"/>
      <c r="F77" s="182"/>
    </row>
    <row r="78" spans="1:7" ht="15.75" x14ac:dyDescent="0.25">
      <c r="A78" s="258"/>
      <c r="B78" s="341" t="s">
        <v>1254</v>
      </c>
      <c r="C78" s="342"/>
      <c r="D78" s="342"/>
      <c r="E78" s="346"/>
      <c r="F78" s="182"/>
    </row>
    <row r="79" spans="1:7" ht="15.75" x14ac:dyDescent="0.25">
      <c r="A79" s="258"/>
      <c r="B79" s="341" t="s">
        <v>1255</v>
      </c>
      <c r="C79" s="340"/>
      <c r="D79" s="350">
        <v>103.6</v>
      </c>
      <c r="E79" s="346"/>
      <c r="F79" s="182"/>
    </row>
    <row r="80" spans="1:7" ht="15.75" x14ac:dyDescent="0.25">
      <c r="A80" s="258"/>
      <c r="B80" s="341" t="s">
        <v>1257</v>
      </c>
      <c r="C80" s="343" t="s">
        <v>1268</v>
      </c>
      <c r="D80" s="345">
        <f>(D79-100)/12*7/100+1</f>
        <v>1.0209999999999999</v>
      </c>
      <c r="E80" s="346"/>
      <c r="F80" s="182"/>
    </row>
    <row r="81" spans="1:6" ht="15.75" x14ac:dyDescent="0.25">
      <c r="A81" s="258"/>
      <c r="B81" s="341" t="s">
        <v>1259</v>
      </c>
      <c r="C81" s="343">
        <v>103.7</v>
      </c>
      <c r="D81" s="345"/>
      <c r="E81" s="346"/>
      <c r="F81" s="182"/>
    </row>
    <row r="82" spans="1:6" ht="15.75" x14ac:dyDescent="0.25">
      <c r="A82" s="258"/>
      <c r="B82" s="341" t="s">
        <v>1299</v>
      </c>
      <c r="C82" s="344" t="s">
        <v>1267</v>
      </c>
      <c r="D82" s="345">
        <f>(C81-100)/12*7/100+1</f>
        <v>1.022</v>
      </c>
      <c r="E82" s="346"/>
      <c r="F82" s="182"/>
    </row>
    <row r="83" spans="1:6" ht="15.75" x14ac:dyDescent="0.25">
      <c r="A83" s="258"/>
      <c r="B83" s="341" t="s">
        <v>1301</v>
      </c>
      <c r="C83" s="344" t="s">
        <v>1266</v>
      </c>
      <c r="D83" s="345">
        <f>(C81-100)/12*8/100+1</f>
        <v>1.0249999999999999</v>
      </c>
      <c r="E83" s="346"/>
      <c r="F83" s="182"/>
    </row>
    <row r="84" spans="1:6" ht="30" x14ac:dyDescent="0.25">
      <c r="A84" s="258"/>
      <c r="B84" s="341" t="s">
        <v>1288</v>
      </c>
      <c r="C84" s="352" t="s">
        <v>1302</v>
      </c>
      <c r="D84" s="351">
        <f>D80*(D82+D83)/2</f>
        <v>1.0449999999999999</v>
      </c>
      <c r="E84" s="346"/>
      <c r="F84" s="182"/>
    </row>
    <row r="85" spans="1:6" ht="15.75" x14ac:dyDescent="0.2">
      <c r="A85" s="258" t="s">
        <v>919</v>
      </c>
      <c r="B85" s="255" t="s">
        <v>984</v>
      </c>
      <c r="C85" s="158">
        <v>10741334</v>
      </c>
      <c r="D85" s="346">
        <v>44423</v>
      </c>
      <c r="E85" s="346">
        <v>44449</v>
      </c>
      <c r="F85" s="182">
        <f t="shared" si="0"/>
        <v>26</v>
      </c>
    </row>
    <row r="86" spans="1:6" ht="15.75" x14ac:dyDescent="0.25">
      <c r="A86" s="258"/>
      <c r="B86" s="341" t="s">
        <v>1253</v>
      </c>
      <c r="C86" s="342"/>
      <c r="D86" s="342"/>
      <c r="E86" s="346"/>
      <c r="F86" s="182"/>
    </row>
    <row r="87" spans="1:6" ht="15.75" x14ac:dyDescent="0.25">
      <c r="A87" s="258"/>
      <c r="B87" s="341" t="s">
        <v>1254</v>
      </c>
      <c r="C87" s="342"/>
      <c r="D87" s="342"/>
      <c r="E87" s="346"/>
      <c r="F87" s="182"/>
    </row>
    <row r="88" spans="1:6" ht="15.75" x14ac:dyDescent="0.25">
      <c r="A88" s="258"/>
      <c r="B88" s="341" t="s">
        <v>1255</v>
      </c>
      <c r="C88" s="340"/>
      <c r="D88" s="350">
        <v>103.6</v>
      </c>
      <c r="E88" s="346"/>
      <c r="F88" s="182"/>
    </row>
    <row r="89" spans="1:6" ht="15.75" x14ac:dyDescent="0.25">
      <c r="A89" s="258"/>
      <c r="B89" s="341" t="s">
        <v>1257</v>
      </c>
      <c r="C89" s="343" t="s">
        <v>1268</v>
      </c>
      <c r="D89" s="345">
        <f>(D88-100)/12*7/100+1</f>
        <v>1.0209999999999999</v>
      </c>
      <c r="E89" s="346"/>
      <c r="F89" s="182"/>
    </row>
    <row r="90" spans="1:6" ht="15.75" x14ac:dyDescent="0.25">
      <c r="A90" s="258"/>
      <c r="B90" s="341" t="s">
        <v>1259</v>
      </c>
      <c r="C90" s="343">
        <v>103.7</v>
      </c>
      <c r="D90" s="345"/>
      <c r="E90" s="346"/>
      <c r="F90" s="182"/>
    </row>
    <row r="91" spans="1:6" ht="15.75" x14ac:dyDescent="0.25">
      <c r="A91" s="258"/>
      <c r="B91" s="341" t="s">
        <v>1290</v>
      </c>
      <c r="C91" s="344" t="s">
        <v>1291</v>
      </c>
      <c r="D91" s="345">
        <f>(C90-100)/12*6/100+1</f>
        <v>1.0189999999999999</v>
      </c>
      <c r="E91" s="346"/>
      <c r="F91" s="182"/>
    </row>
    <row r="92" spans="1:6" ht="15.75" x14ac:dyDescent="0.25">
      <c r="A92" s="258"/>
      <c r="B92" s="341" t="s">
        <v>1303</v>
      </c>
      <c r="C92" s="344" t="s">
        <v>1267</v>
      </c>
      <c r="D92" s="345">
        <f>(C90-100)/12*7/100+1</f>
        <v>1.022</v>
      </c>
      <c r="E92" s="346"/>
      <c r="F92" s="182"/>
    </row>
    <row r="93" spans="1:6" ht="30" x14ac:dyDescent="0.25">
      <c r="A93" s="258"/>
      <c r="B93" s="341" t="s">
        <v>1288</v>
      </c>
      <c r="C93" s="352" t="s">
        <v>1296</v>
      </c>
      <c r="D93" s="351">
        <f>D89*(D91+D92)/2</f>
        <v>1.042</v>
      </c>
      <c r="E93" s="346"/>
      <c r="F93" s="182"/>
    </row>
    <row r="94" spans="1:6" ht="15.75" x14ac:dyDescent="0.2">
      <c r="A94" s="258" t="s">
        <v>920</v>
      </c>
      <c r="B94" s="255" t="s">
        <v>1005</v>
      </c>
      <c r="C94" s="158">
        <v>26065621</v>
      </c>
      <c r="D94" s="346">
        <v>44423</v>
      </c>
      <c r="E94" s="346">
        <v>44440</v>
      </c>
      <c r="F94" s="182">
        <f t="shared" si="0"/>
        <v>17</v>
      </c>
    </row>
    <row r="95" spans="1:6" ht="15.75" x14ac:dyDescent="0.25">
      <c r="A95" s="258"/>
      <c r="B95" s="341" t="s">
        <v>1253</v>
      </c>
      <c r="C95" s="342"/>
      <c r="D95" s="342"/>
      <c r="E95" s="346"/>
      <c r="F95" s="182"/>
    </row>
    <row r="96" spans="1:6" ht="15.75" x14ac:dyDescent="0.25">
      <c r="A96" s="258"/>
      <c r="B96" s="341" t="s">
        <v>1254</v>
      </c>
      <c r="C96" s="342"/>
      <c r="D96" s="342"/>
      <c r="E96" s="346"/>
      <c r="F96" s="182"/>
    </row>
    <row r="97" spans="1:6" ht="15.75" x14ac:dyDescent="0.25">
      <c r="A97" s="258"/>
      <c r="B97" s="341" t="s">
        <v>1255</v>
      </c>
      <c r="C97" s="340"/>
      <c r="D97" s="350">
        <v>103.6</v>
      </c>
      <c r="E97" s="346"/>
      <c r="F97" s="182"/>
    </row>
    <row r="98" spans="1:6" ht="15.75" x14ac:dyDescent="0.25">
      <c r="A98" s="258"/>
      <c r="B98" s="341" t="s">
        <v>1257</v>
      </c>
      <c r="C98" s="343" t="s">
        <v>1268</v>
      </c>
      <c r="D98" s="345">
        <f>(D97-100)/12*7/100+1</f>
        <v>1.0209999999999999</v>
      </c>
      <c r="E98" s="346"/>
      <c r="F98" s="182"/>
    </row>
    <row r="99" spans="1:6" ht="15.75" x14ac:dyDescent="0.25">
      <c r="A99" s="258"/>
      <c r="B99" s="341" t="s">
        <v>1259</v>
      </c>
      <c r="C99" s="343">
        <v>103.7</v>
      </c>
      <c r="D99" s="345"/>
      <c r="E99" s="346"/>
      <c r="F99" s="182"/>
    </row>
    <row r="100" spans="1:6" ht="15.75" x14ac:dyDescent="0.25">
      <c r="A100" s="258"/>
      <c r="B100" s="341" t="s">
        <v>1295</v>
      </c>
      <c r="C100" s="344" t="s">
        <v>1267</v>
      </c>
      <c r="D100" s="345">
        <f>(C99-100)/12*7/100+1</f>
        <v>1.022</v>
      </c>
      <c r="E100" s="346"/>
      <c r="F100" s="182"/>
    </row>
    <row r="101" spans="1:6" ht="15.75" x14ac:dyDescent="0.25">
      <c r="A101" s="258"/>
      <c r="B101" s="341" t="s">
        <v>1303</v>
      </c>
      <c r="C101" s="344" t="s">
        <v>1267</v>
      </c>
      <c r="D101" s="345">
        <f>(C99-100)/12*7/100+1</f>
        <v>1.022</v>
      </c>
      <c r="E101" s="346"/>
      <c r="F101" s="182"/>
    </row>
    <row r="102" spans="1:6" ht="30" x14ac:dyDescent="0.25">
      <c r="A102" s="258"/>
      <c r="B102" s="341" t="s">
        <v>1288</v>
      </c>
      <c r="C102" s="352" t="s">
        <v>1300</v>
      </c>
      <c r="D102" s="351">
        <f>D98*(D100+D101)/2</f>
        <v>1.0429999999999999</v>
      </c>
      <c r="E102" s="346"/>
      <c r="F102" s="182"/>
    </row>
    <row r="103" spans="1:6" ht="15.75" x14ac:dyDescent="0.2">
      <c r="A103" s="258" t="s">
        <v>932</v>
      </c>
      <c r="B103" s="255" t="s">
        <v>985</v>
      </c>
      <c r="C103" s="158">
        <v>2617501</v>
      </c>
      <c r="D103" s="346">
        <v>44409</v>
      </c>
      <c r="E103" s="346">
        <v>44433</v>
      </c>
      <c r="F103" s="182">
        <f t="shared" si="0"/>
        <v>24</v>
      </c>
    </row>
    <row r="104" spans="1:6" ht="15.75" x14ac:dyDescent="0.25">
      <c r="A104" s="258"/>
      <c r="B104" s="341" t="s">
        <v>1253</v>
      </c>
      <c r="C104" s="342"/>
      <c r="D104" s="342"/>
      <c r="E104" s="346"/>
      <c r="F104" s="182"/>
    </row>
    <row r="105" spans="1:6" ht="15.75" x14ac:dyDescent="0.25">
      <c r="A105" s="258"/>
      <c r="B105" s="341" t="s">
        <v>1254</v>
      </c>
      <c r="C105" s="342"/>
      <c r="D105" s="342"/>
      <c r="E105" s="346"/>
      <c r="F105" s="182"/>
    </row>
    <row r="106" spans="1:6" ht="15.75" x14ac:dyDescent="0.25">
      <c r="A106" s="258"/>
      <c r="B106" s="341" t="s">
        <v>1255</v>
      </c>
      <c r="C106" s="340"/>
      <c r="D106" s="350">
        <v>103.6</v>
      </c>
      <c r="E106" s="346"/>
      <c r="F106" s="182"/>
    </row>
    <row r="107" spans="1:6" ht="15.75" x14ac:dyDescent="0.25">
      <c r="A107" s="258"/>
      <c r="B107" s="341" t="s">
        <v>1257</v>
      </c>
      <c r="C107" s="343" t="s">
        <v>1268</v>
      </c>
      <c r="D107" s="345">
        <f>(D106-100)/12*7/100+1</f>
        <v>1.0209999999999999</v>
      </c>
      <c r="E107" s="346"/>
      <c r="F107" s="182"/>
    </row>
    <row r="108" spans="1:6" ht="15.75" x14ac:dyDescent="0.25">
      <c r="A108" s="258"/>
      <c r="B108" s="341" t="s">
        <v>1259</v>
      </c>
      <c r="C108" s="343">
        <v>103.7</v>
      </c>
      <c r="D108" s="345"/>
      <c r="E108" s="346"/>
      <c r="F108" s="182"/>
    </row>
    <row r="109" spans="1:6" ht="15.75" x14ac:dyDescent="0.25">
      <c r="A109" s="258"/>
      <c r="B109" s="341" t="s">
        <v>1303</v>
      </c>
      <c r="C109" s="344" t="s">
        <v>1267</v>
      </c>
      <c r="D109" s="345">
        <f>(C108-100)/12*7/100+1</f>
        <v>1.022</v>
      </c>
      <c r="E109" s="346"/>
      <c r="F109" s="182"/>
    </row>
    <row r="110" spans="1:6" ht="15.75" x14ac:dyDescent="0.25">
      <c r="A110" s="258"/>
      <c r="B110" s="341" t="s">
        <v>1304</v>
      </c>
      <c r="C110" s="344" t="s">
        <v>1267</v>
      </c>
      <c r="D110" s="345">
        <f>(C108-100)/12*7/100+1</f>
        <v>1.022</v>
      </c>
      <c r="E110" s="346"/>
      <c r="F110" s="182"/>
    </row>
    <row r="111" spans="1:6" ht="30" x14ac:dyDescent="0.25">
      <c r="A111" s="258"/>
      <c r="B111" s="341" t="s">
        <v>1288</v>
      </c>
      <c r="C111" s="352" t="s">
        <v>1300</v>
      </c>
      <c r="D111" s="351">
        <f>D107*(D109+D110)/2</f>
        <v>1.0429999999999999</v>
      </c>
      <c r="E111" s="346"/>
      <c r="F111" s="182"/>
    </row>
    <row r="112" spans="1:6" ht="15.75" x14ac:dyDescent="0.2">
      <c r="A112" s="280" t="s">
        <v>944</v>
      </c>
      <c r="B112" s="279" t="s">
        <v>102</v>
      </c>
      <c r="C112" s="232">
        <v>390607</v>
      </c>
      <c r="D112" s="346">
        <v>44409</v>
      </c>
      <c r="E112" s="346">
        <v>44433</v>
      </c>
      <c r="F112" s="182">
        <f t="shared" si="0"/>
        <v>24</v>
      </c>
    </row>
    <row r="113" spans="1:6" ht="15.75" x14ac:dyDescent="0.25">
      <c r="A113" s="258"/>
      <c r="B113" s="341" t="s">
        <v>1253</v>
      </c>
      <c r="C113" s="342"/>
      <c r="D113" s="342"/>
      <c r="E113" s="346"/>
      <c r="F113" s="182"/>
    </row>
    <row r="114" spans="1:6" ht="15.75" x14ac:dyDescent="0.25">
      <c r="A114" s="258"/>
      <c r="B114" s="341" t="s">
        <v>1254</v>
      </c>
      <c r="C114" s="342"/>
      <c r="D114" s="342"/>
      <c r="E114" s="346"/>
      <c r="F114" s="182"/>
    </row>
    <row r="115" spans="1:6" ht="15.75" x14ac:dyDescent="0.25">
      <c r="A115" s="258"/>
      <c r="B115" s="341" t="s">
        <v>1255</v>
      </c>
      <c r="C115" s="340"/>
      <c r="D115" s="350">
        <v>103.6</v>
      </c>
      <c r="E115" s="346"/>
      <c r="F115" s="182"/>
    </row>
    <row r="116" spans="1:6" ht="15.75" x14ac:dyDescent="0.25">
      <c r="A116" s="258"/>
      <c r="B116" s="341" t="s">
        <v>1257</v>
      </c>
      <c r="C116" s="343" t="s">
        <v>1268</v>
      </c>
      <c r="D116" s="345">
        <f>(D115-100)/12*7/100+1</f>
        <v>1.0209999999999999</v>
      </c>
      <c r="E116" s="346"/>
      <c r="F116" s="182"/>
    </row>
    <row r="117" spans="1:6" ht="15.75" x14ac:dyDescent="0.25">
      <c r="A117" s="258"/>
      <c r="B117" s="341" t="s">
        <v>1259</v>
      </c>
      <c r="C117" s="343">
        <v>103.7</v>
      </c>
      <c r="D117" s="345"/>
      <c r="E117" s="346"/>
      <c r="F117" s="182"/>
    </row>
    <row r="118" spans="1:6" ht="15.75" x14ac:dyDescent="0.25">
      <c r="A118" s="258"/>
      <c r="B118" s="341" t="s">
        <v>1295</v>
      </c>
      <c r="C118" s="344" t="s">
        <v>1267</v>
      </c>
      <c r="D118" s="345">
        <f>(C117-100)/12*7/100+1</f>
        <v>1.022</v>
      </c>
      <c r="E118" s="346"/>
      <c r="F118" s="182"/>
    </row>
    <row r="119" spans="1:6" ht="15.75" x14ac:dyDescent="0.25">
      <c r="A119" s="258"/>
      <c r="B119" s="341" t="s">
        <v>1303</v>
      </c>
      <c r="C119" s="344" t="s">
        <v>1267</v>
      </c>
      <c r="D119" s="345">
        <f>(C117-100)/12*7/100+1</f>
        <v>1.022</v>
      </c>
      <c r="E119" s="346"/>
      <c r="F119" s="182"/>
    </row>
    <row r="120" spans="1:6" ht="30" x14ac:dyDescent="0.25">
      <c r="A120" s="258"/>
      <c r="B120" s="341" t="s">
        <v>1288</v>
      </c>
      <c r="C120" s="352" t="s">
        <v>1300</v>
      </c>
      <c r="D120" s="351">
        <f>D116*(D118+D119)/2</f>
        <v>1.0429999999999999</v>
      </c>
      <c r="E120" s="346"/>
      <c r="F120" s="182"/>
    </row>
    <row r="121" spans="1:6" ht="15.75" x14ac:dyDescent="0.2">
      <c r="A121" s="258" t="s">
        <v>945</v>
      </c>
      <c r="B121" s="255" t="s">
        <v>986</v>
      </c>
      <c r="C121" s="158">
        <v>1127740</v>
      </c>
      <c r="D121" s="346">
        <v>44423</v>
      </c>
      <c r="E121" s="346">
        <v>44440</v>
      </c>
      <c r="F121" s="182">
        <f t="shared" si="0"/>
        <v>17</v>
      </c>
    </row>
    <row r="122" spans="1:6" ht="15.75" x14ac:dyDescent="0.25">
      <c r="A122" s="258"/>
      <c r="B122" s="341" t="s">
        <v>1253</v>
      </c>
      <c r="C122" s="342"/>
      <c r="D122" s="342"/>
      <c r="E122" s="346"/>
      <c r="F122" s="182"/>
    </row>
    <row r="123" spans="1:6" ht="15.75" x14ac:dyDescent="0.25">
      <c r="A123" s="258"/>
      <c r="B123" s="341" t="s">
        <v>1254</v>
      </c>
      <c r="C123" s="342"/>
      <c r="D123" s="342"/>
      <c r="E123" s="346"/>
      <c r="F123" s="182"/>
    </row>
    <row r="124" spans="1:6" ht="15.75" x14ac:dyDescent="0.25">
      <c r="A124" s="258"/>
      <c r="B124" s="341" t="s">
        <v>1255</v>
      </c>
      <c r="C124" s="340"/>
      <c r="D124" s="350">
        <v>103.6</v>
      </c>
      <c r="E124" s="346"/>
      <c r="F124" s="182"/>
    </row>
    <row r="125" spans="1:6" ht="15.75" x14ac:dyDescent="0.25">
      <c r="A125" s="258"/>
      <c r="B125" s="341" t="s">
        <v>1257</v>
      </c>
      <c r="C125" s="343" t="s">
        <v>1268</v>
      </c>
      <c r="D125" s="345">
        <f>(D124-100)/12*7/100+1</f>
        <v>1.0209999999999999</v>
      </c>
      <c r="E125" s="346"/>
      <c r="F125" s="182"/>
    </row>
    <row r="126" spans="1:6" ht="15.75" x14ac:dyDescent="0.25">
      <c r="A126" s="258"/>
      <c r="B126" s="341" t="s">
        <v>1259</v>
      </c>
      <c r="C126" s="343">
        <v>103.7</v>
      </c>
      <c r="D126" s="345"/>
      <c r="E126" s="346"/>
      <c r="F126" s="182"/>
    </row>
    <row r="127" spans="1:6" ht="15.75" x14ac:dyDescent="0.25">
      <c r="A127" s="258"/>
      <c r="B127" s="341" t="s">
        <v>1303</v>
      </c>
      <c r="C127" s="344" t="s">
        <v>1267</v>
      </c>
      <c r="D127" s="345">
        <f>(C126-100)/12*7/100+1</f>
        <v>1.022</v>
      </c>
      <c r="E127" s="346"/>
      <c r="F127" s="182"/>
    </row>
    <row r="128" spans="1:6" ht="15.75" x14ac:dyDescent="0.25">
      <c r="A128" s="258"/>
      <c r="B128" s="341" t="s">
        <v>1299</v>
      </c>
      <c r="C128" s="344" t="s">
        <v>1267</v>
      </c>
      <c r="D128" s="345">
        <f>(C126-100)/12*7/100+1</f>
        <v>1.022</v>
      </c>
      <c r="E128" s="346"/>
      <c r="F128" s="182"/>
    </row>
    <row r="129" spans="1:6" ht="30" x14ac:dyDescent="0.25">
      <c r="A129" s="258"/>
      <c r="B129" s="341" t="s">
        <v>1288</v>
      </c>
      <c r="C129" s="352" t="s">
        <v>1300</v>
      </c>
      <c r="D129" s="351">
        <f>D125*(D127+D128)/2</f>
        <v>1.0429999999999999</v>
      </c>
      <c r="E129" s="346"/>
      <c r="F129" s="182"/>
    </row>
    <row r="130" spans="1:6" ht="15.75" x14ac:dyDescent="0.2">
      <c r="A130" s="258" t="s">
        <v>946</v>
      </c>
      <c r="B130" s="255" t="s">
        <v>987</v>
      </c>
      <c r="C130" s="158">
        <v>492952</v>
      </c>
      <c r="D130" s="346">
        <v>44450</v>
      </c>
      <c r="E130" s="346">
        <v>44454</v>
      </c>
      <c r="F130" s="182">
        <f t="shared" si="0"/>
        <v>4</v>
      </c>
    </row>
    <row r="131" spans="1:6" ht="15.75" x14ac:dyDescent="0.25">
      <c r="A131" s="258"/>
      <c r="B131" s="341" t="s">
        <v>1253</v>
      </c>
      <c r="C131" s="342"/>
      <c r="D131" s="342"/>
      <c r="E131" s="346"/>
      <c r="F131" s="182"/>
    </row>
    <row r="132" spans="1:6" ht="15.75" x14ac:dyDescent="0.25">
      <c r="A132" s="258"/>
      <c r="B132" s="341" t="s">
        <v>1254</v>
      </c>
      <c r="C132" s="342"/>
      <c r="D132" s="342"/>
      <c r="E132" s="346"/>
      <c r="F132" s="182"/>
    </row>
    <row r="133" spans="1:6" ht="15.75" x14ac:dyDescent="0.25">
      <c r="A133" s="258"/>
      <c r="B133" s="341" t="s">
        <v>1255</v>
      </c>
      <c r="C133" s="340"/>
      <c r="D133" s="350">
        <v>103.6</v>
      </c>
      <c r="E133" s="346"/>
      <c r="F133" s="182"/>
    </row>
    <row r="134" spans="1:6" ht="15.75" x14ac:dyDescent="0.25">
      <c r="A134" s="258"/>
      <c r="B134" s="341" t="s">
        <v>1257</v>
      </c>
      <c r="C134" s="343" t="s">
        <v>1268</v>
      </c>
      <c r="D134" s="345">
        <f>(D133-100)/12*7/100+1</f>
        <v>1.0209999999999999</v>
      </c>
      <c r="E134" s="346"/>
      <c r="F134" s="182"/>
    </row>
    <row r="135" spans="1:6" ht="15.75" x14ac:dyDescent="0.25">
      <c r="A135" s="258"/>
      <c r="B135" s="341" t="s">
        <v>1259</v>
      </c>
      <c r="C135" s="343">
        <v>103.7</v>
      </c>
      <c r="D135" s="345"/>
      <c r="E135" s="346"/>
      <c r="F135" s="182"/>
    </row>
    <row r="136" spans="1:6" ht="15.75" x14ac:dyDescent="0.25">
      <c r="A136" s="258"/>
      <c r="B136" s="341" t="s">
        <v>1305</v>
      </c>
      <c r="C136" s="344" t="s">
        <v>1266</v>
      </c>
      <c r="D136" s="345">
        <f>(C135-100)/12*8/100+1</f>
        <v>1.0249999999999999</v>
      </c>
      <c r="E136" s="346"/>
      <c r="F136" s="182"/>
    </row>
    <row r="137" spans="1:6" ht="15.75" x14ac:dyDescent="0.25">
      <c r="A137" s="258"/>
      <c r="B137" s="341" t="s">
        <v>1306</v>
      </c>
      <c r="C137" s="344" t="s">
        <v>1266</v>
      </c>
      <c r="D137" s="345">
        <f>(C135-100)/12*8/100+1</f>
        <v>1.0249999999999999</v>
      </c>
      <c r="E137" s="346"/>
      <c r="F137" s="182"/>
    </row>
    <row r="138" spans="1:6" ht="30" x14ac:dyDescent="0.25">
      <c r="A138" s="258"/>
      <c r="B138" s="341" t="s">
        <v>1288</v>
      </c>
      <c r="C138" s="352" t="s">
        <v>1307</v>
      </c>
      <c r="D138" s="351">
        <f>D134*(D136+D137)/2</f>
        <v>1.0469999999999999</v>
      </c>
      <c r="E138" s="346"/>
      <c r="F138" s="182"/>
    </row>
    <row r="139" spans="1:6" ht="15.75" x14ac:dyDescent="0.2">
      <c r="A139" s="206" t="s">
        <v>947</v>
      </c>
      <c r="B139" s="93" t="s">
        <v>52</v>
      </c>
      <c r="C139" s="240">
        <v>258744</v>
      </c>
      <c r="D139" s="346">
        <f>D21</f>
        <v>44348</v>
      </c>
      <c r="E139" s="346">
        <f>E130</f>
        <v>44454</v>
      </c>
      <c r="F139" s="182">
        <f t="shared" si="0"/>
        <v>106</v>
      </c>
    </row>
    <row r="140" spans="1:6" ht="15.75" x14ac:dyDescent="0.25">
      <c r="A140" s="258"/>
      <c r="B140" s="341" t="s">
        <v>1253</v>
      </c>
      <c r="C140" s="342"/>
      <c r="D140" s="342"/>
      <c r="E140" s="346"/>
      <c r="F140" s="182"/>
    </row>
    <row r="141" spans="1:6" ht="15.75" x14ac:dyDescent="0.25">
      <c r="A141" s="258"/>
      <c r="B141" s="341" t="s">
        <v>1254</v>
      </c>
      <c r="C141" s="342"/>
      <c r="D141" s="342"/>
      <c r="E141" s="346"/>
      <c r="F141" s="182"/>
    </row>
    <row r="142" spans="1:6" ht="15.75" x14ac:dyDescent="0.25">
      <c r="A142" s="258"/>
      <c r="B142" s="341" t="s">
        <v>1255</v>
      </c>
      <c r="C142" s="340"/>
      <c r="D142" s="350">
        <v>103.6</v>
      </c>
      <c r="E142" s="346"/>
      <c r="F142" s="182"/>
    </row>
    <row r="143" spans="1:6" ht="15.75" x14ac:dyDescent="0.25">
      <c r="A143" s="258"/>
      <c r="B143" s="341" t="s">
        <v>1257</v>
      </c>
      <c r="C143" s="343" t="s">
        <v>1268</v>
      </c>
      <c r="D143" s="345">
        <f>(D142-100)/12*7/100+1</f>
        <v>1.0209999999999999</v>
      </c>
      <c r="E143" s="346"/>
      <c r="F143" s="182"/>
    </row>
    <row r="144" spans="1:6" ht="15.75" x14ac:dyDescent="0.25">
      <c r="A144" s="258"/>
      <c r="B144" s="341" t="s">
        <v>1259</v>
      </c>
      <c r="C144" s="343">
        <v>103.7</v>
      </c>
      <c r="D144" s="345"/>
      <c r="E144" s="346"/>
      <c r="F144" s="182"/>
    </row>
    <row r="145" spans="1:6" ht="15.75" x14ac:dyDescent="0.25">
      <c r="A145" s="258"/>
      <c r="B145" s="341" t="s">
        <v>1286</v>
      </c>
      <c r="C145" s="344" t="s">
        <v>1260</v>
      </c>
      <c r="D145" s="345">
        <f>(C144-100)/12*3/100+1</f>
        <v>1.0089999999999999</v>
      </c>
      <c r="E145" s="346"/>
      <c r="F145" s="182"/>
    </row>
    <row r="146" spans="1:6" ht="15.75" x14ac:dyDescent="0.25">
      <c r="A146" s="258"/>
      <c r="B146" s="341" t="s">
        <v>1306</v>
      </c>
      <c r="C146" s="344" t="s">
        <v>1266</v>
      </c>
      <c r="D146" s="345">
        <f>(C144-100)/12*8/100+1</f>
        <v>1.0249999999999999</v>
      </c>
      <c r="E146" s="346"/>
      <c r="F146" s="182"/>
    </row>
    <row r="147" spans="1:6" ht="30" x14ac:dyDescent="0.25">
      <c r="A147" s="258"/>
      <c r="B147" s="341" t="s">
        <v>1288</v>
      </c>
      <c r="C147" s="352" t="s">
        <v>1308</v>
      </c>
      <c r="D147" s="351">
        <f>D143*(D145+D146)/2</f>
        <v>1.038</v>
      </c>
      <c r="E147" s="346"/>
      <c r="F147" s="182"/>
    </row>
    <row r="148" spans="1:6" ht="25.5" x14ac:dyDescent="0.2">
      <c r="A148" s="206" t="s">
        <v>948</v>
      </c>
      <c r="B148" s="93" t="s">
        <v>709</v>
      </c>
      <c r="C148" s="240">
        <v>133439</v>
      </c>
      <c r="D148" s="346">
        <f>D139</f>
        <v>44348</v>
      </c>
      <c r="E148" s="346">
        <f>E139</f>
        <v>44454</v>
      </c>
      <c r="F148" s="182">
        <f t="shared" si="0"/>
        <v>106</v>
      </c>
    </row>
    <row r="149" spans="1:6" ht="15.75" x14ac:dyDescent="0.25">
      <c r="A149" s="258"/>
      <c r="B149" s="341" t="s">
        <v>1253</v>
      </c>
      <c r="C149" s="342"/>
      <c r="D149" s="342"/>
      <c r="E149" s="346"/>
      <c r="F149" s="182"/>
    </row>
    <row r="150" spans="1:6" ht="15.75" x14ac:dyDescent="0.25">
      <c r="A150" s="258"/>
      <c r="B150" s="341" t="s">
        <v>1254</v>
      </c>
      <c r="C150" s="342"/>
      <c r="D150" s="342"/>
      <c r="E150" s="346"/>
      <c r="F150" s="182"/>
    </row>
    <row r="151" spans="1:6" ht="15.75" x14ac:dyDescent="0.25">
      <c r="A151" s="258"/>
      <c r="B151" s="341" t="s">
        <v>1255</v>
      </c>
      <c r="C151" s="340"/>
      <c r="D151" s="350">
        <v>103.6</v>
      </c>
      <c r="E151" s="346"/>
      <c r="F151" s="182"/>
    </row>
    <row r="152" spans="1:6" ht="15.75" x14ac:dyDescent="0.25">
      <c r="A152" s="258"/>
      <c r="B152" s="341" t="s">
        <v>1257</v>
      </c>
      <c r="C152" s="343" t="s">
        <v>1268</v>
      </c>
      <c r="D152" s="345">
        <f>(D151-100)/12*7/100+1</f>
        <v>1.0209999999999999</v>
      </c>
      <c r="E152" s="346"/>
      <c r="F152" s="182"/>
    </row>
    <row r="153" spans="1:6" ht="15.75" x14ac:dyDescent="0.25">
      <c r="A153" s="258"/>
      <c r="B153" s="341" t="s">
        <v>1259</v>
      </c>
      <c r="C153" s="343">
        <v>103.7</v>
      </c>
      <c r="D153" s="345"/>
      <c r="E153" s="346"/>
      <c r="F153" s="182"/>
    </row>
    <row r="154" spans="1:6" ht="15.75" x14ac:dyDescent="0.25">
      <c r="A154" s="258"/>
      <c r="B154" s="341" t="s">
        <v>1286</v>
      </c>
      <c r="C154" s="344" t="s">
        <v>1260</v>
      </c>
      <c r="D154" s="345">
        <f>(C153-100)/12*3/100+1</f>
        <v>1.0089999999999999</v>
      </c>
      <c r="E154" s="346"/>
      <c r="F154" s="182"/>
    </row>
    <row r="155" spans="1:6" ht="15.75" x14ac:dyDescent="0.25">
      <c r="A155" s="258"/>
      <c r="B155" s="341" t="s">
        <v>1306</v>
      </c>
      <c r="C155" s="344" t="s">
        <v>1266</v>
      </c>
      <c r="D155" s="345">
        <f>(C153-100)/12*8/100+1</f>
        <v>1.0249999999999999</v>
      </c>
      <c r="E155" s="346"/>
      <c r="F155" s="182"/>
    </row>
    <row r="156" spans="1:6" ht="30" x14ac:dyDescent="0.25">
      <c r="A156" s="258"/>
      <c r="B156" s="341" t="s">
        <v>1288</v>
      </c>
      <c r="C156" s="352" t="s">
        <v>1308</v>
      </c>
      <c r="D156" s="351">
        <f>D152*(D154+D155)/2</f>
        <v>1.038</v>
      </c>
      <c r="E156" s="346"/>
      <c r="F156" s="182"/>
    </row>
    <row r="157" spans="1:6" ht="15.75" x14ac:dyDescent="0.2">
      <c r="A157" s="206" t="s">
        <v>949</v>
      </c>
      <c r="B157" s="93" t="s">
        <v>1392</v>
      </c>
      <c r="C157" s="240">
        <v>485874</v>
      </c>
      <c r="D157" s="346">
        <f>D148</f>
        <v>44348</v>
      </c>
      <c r="E157" s="346">
        <f>E148</f>
        <v>44454</v>
      </c>
      <c r="F157" s="182">
        <f t="shared" si="0"/>
        <v>106</v>
      </c>
    </row>
    <row r="158" spans="1:6" ht="15.75" x14ac:dyDescent="0.25">
      <c r="A158" s="258"/>
      <c r="B158" s="341" t="s">
        <v>1253</v>
      </c>
      <c r="C158" s="342"/>
      <c r="D158" s="342"/>
      <c r="E158" s="346"/>
      <c r="F158" s="182"/>
    </row>
    <row r="159" spans="1:6" ht="15.75" x14ac:dyDescent="0.25">
      <c r="A159" s="258"/>
      <c r="B159" s="341" t="s">
        <v>1254</v>
      </c>
      <c r="C159" s="342"/>
      <c r="D159" s="342"/>
      <c r="E159" s="346"/>
      <c r="F159" s="182"/>
    </row>
    <row r="160" spans="1:6" ht="15.75" x14ac:dyDescent="0.25">
      <c r="A160" s="258"/>
      <c r="B160" s="341" t="s">
        <v>1255</v>
      </c>
      <c r="C160" s="340"/>
      <c r="D160" s="350">
        <v>103.6</v>
      </c>
      <c r="E160" s="346"/>
      <c r="F160" s="182"/>
    </row>
    <row r="161" spans="1:6" ht="15.75" x14ac:dyDescent="0.25">
      <c r="A161" s="258"/>
      <c r="B161" s="341" t="s">
        <v>1257</v>
      </c>
      <c r="C161" s="343" t="s">
        <v>1268</v>
      </c>
      <c r="D161" s="345">
        <f>(D160-100)/12*7/100+1</f>
        <v>1.0209999999999999</v>
      </c>
      <c r="E161" s="346"/>
      <c r="F161" s="182"/>
    </row>
    <row r="162" spans="1:6" ht="15.75" x14ac:dyDescent="0.25">
      <c r="A162" s="258"/>
      <c r="B162" s="341" t="s">
        <v>1259</v>
      </c>
      <c r="C162" s="343">
        <v>103.7</v>
      </c>
      <c r="D162" s="345"/>
      <c r="E162" s="346"/>
      <c r="F162" s="182"/>
    </row>
    <row r="163" spans="1:6" ht="15.75" x14ac:dyDescent="0.25">
      <c r="A163" s="258"/>
      <c r="B163" s="341" t="s">
        <v>1286</v>
      </c>
      <c r="C163" s="344" t="s">
        <v>1260</v>
      </c>
      <c r="D163" s="345">
        <f>(C162-100)/12*3/100+1</f>
        <v>1.0089999999999999</v>
      </c>
      <c r="E163" s="346"/>
      <c r="F163" s="182"/>
    </row>
    <row r="164" spans="1:6" ht="15.75" x14ac:dyDescent="0.25">
      <c r="A164" s="258"/>
      <c r="B164" s="341" t="s">
        <v>1306</v>
      </c>
      <c r="C164" s="344" t="s">
        <v>1266</v>
      </c>
      <c r="D164" s="345">
        <f>(C162-100)/12*8/100+1</f>
        <v>1.0249999999999999</v>
      </c>
      <c r="E164" s="346"/>
      <c r="F164" s="182"/>
    </row>
    <row r="165" spans="1:6" ht="30" x14ac:dyDescent="0.25">
      <c r="A165" s="258"/>
      <c r="B165" s="341" t="s">
        <v>1288</v>
      </c>
      <c r="C165" s="352" t="s">
        <v>1308</v>
      </c>
      <c r="D165" s="351">
        <f>D161*(D163+D164)/2</f>
        <v>1.038</v>
      </c>
      <c r="E165" s="346"/>
      <c r="F165" s="182"/>
    </row>
    <row r="166" spans="1:6" ht="15.75" x14ac:dyDescent="0.2">
      <c r="A166" s="206" t="s">
        <v>952</v>
      </c>
      <c r="B166" s="100" t="s">
        <v>1391</v>
      </c>
      <c r="C166" s="240">
        <v>5841170</v>
      </c>
      <c r="D166" s="346">
        <f>D157</f>
        <v>44348</v>
      </c>
      <c r="E166" s="346">
        <f>E157</f>
        <v>44454</v>
      </c>
      <c r="F166" s="182">
        <f t="shared" si="0"/>
        <v>106</v>
      </c>
    </row>
    <row r="167" spans="1:6" ht="15.75" x14ac:dyDescent="0.25">
      <c r="A167" s="258"/>
      <c r="B167" s="341" t="s">
        <v>1253</v>
      </c>
      <c r="C167" s="342"/>
      <c r="D167" s="342"/>
      <c r="E167" s="346"/>
      <c r="F167" s="182"/>
    </row>
    <row r="168" spans="1:6" ht="15.75" x14ac:dyDescent="0.25">
      <c r="A168" s="258"/>
      <c r="B168" s="341" t="s">
        <v>1254</v>
      </c>
      <c r="C168" s="342"/>
      <c r="D168" s="342"/>
      <c r="E168" s="346"/>
      <c r="F168" s="182"/>
    </row>
    <row r="169" spans="1:6" ht="15.75" x14ac:dyDescent="0.25">
      <c r="A169" s="258"/>
      <c r="B169" s="341" t="s">
        <v>1255</v>
      </c>
      <c r="C169" s="340"/>
      <c r="D169" s="350">
        <v>103.6</v>
      </c>
      <c r="E169" s="346"/>
      <c r="F169" s="182"/>
    </row>
    <row r="170" spans="1:6" ht="15.75" x14ac:dyDescent="0.25">
      <c r="A170" s="258"/>
      <c r="B170" s="341" t="s">
        <v>1257</v>
      </c>
      <c r="C170" s="343" t="s">
        <v>1268</v>
      </c>
      <c r="D170" s="345">
        <f>(D169-100)/12*7/100+1</f>
        <v>1.0209999999999999</v>
      </c>
      <c r="E170" s="346"/>
      <c r="F170" s="182"/>
    </row>
    <row r="171" spans="1:6" ht="15.75" x14ac:dyDescent="0.25">
      <c r="A171" s="258"/>
      <c r="B171" s="341" t="s">
        <v>1259</v>
      </c>
      <c r="C171" s="343">
        <v>103.7</v>
      </c>
      <c r="D171" s="345"/>
      <c r="E171" s="346"/>
      <c r="F171" s="182"/>
    </row>
    <row r="172" spans="1:6" ht="15.75" x14ac:dyDescent="0.25">
      <c r="A172" s="258"/>
      <c r="B172" s="341" t="s">
        <v>1286</v>
      </c>
      <c r="C172" s="344" t="s">
        <v>1260</v>
      </c>
      <c r="D172" s="345">
        <f>(C171-100)/12*3/100+1</f>
        <v>1.0089999999999999</v>
      </c>
      <c r="E172" s="346"/>
      <c r="F172" s="182"/>
    </row>
    <row r="173" spans="1:6" ht="15.75" x14ac:dyDescent="0.25">
      <c r="A173" s="258"/>
      <c r="B173" s="341" t="s">
        <v>1306</v>
      </c>
      <c r="C173" s="344" t="s">
        <v>1266</v>
      </c>
      <c r="D173" s="345">
        <f>(C171-100)/12*8/100+1</f>
        <v>1.0249999999999999</v>
      </c>
      <c r="E173" s="346"/>
      <c r="F173" s="182"/>
    </row>
    <row r="174" spans="1:6" ht="30" x14ac:dyDescent="0.25">
      <c r="A174" s="258"/>
      <c r="B174" s="341" t="s">
        <v>1288</v>
      </c>
      <c r="C174" s="352" t="s">
        <v>1308</v>
      </c>
      <c r="D174" s="351">
        <f>D170*(D172+D173)/2</f>
        <v>1.038</v>
      </c>
      <c r="E174" s="346"/>
      <c r="F174" s="182"/>
    </row>
    <row r="175" spans="1:6" ht="15.75" x14ac:dyDescent="0.2">
      <c r="A175" s="206" t="s">
        <v>1192</v>
      </c>
      <c r="B175" s="100" t="s">
        <v>1390</v>
      </c>
      <c r="C175" s="240">
        <v>141147</v>
      </c>
      <c r="D175" s="346">
        <f>D166</f>
        <v>44348</v>
      </c>
      <c r="E175" s="346">
        <f>E166</f>
        <v>44454</v>
      </c>
      <c r="F175" s="182">
        <f t="shared" si="0"/>
        <v>106</v>
      </c>
    </row>
    <row r="176" spans="1:6" ht="15.75" x14ac:dyDescent="0.25">
      <c r="A176" s="258"/>
      <c r="B176" s="341" t="s">
        <v>1253</v>
      </c>
      <c r="C176" s="342"/>
      <c r="D176" s="342"/>
      <c r="E176" s="346"/>
      <c r="F176" s="182"/>
    </row>
    <row r="177" spans="1:6" ht="15.75" x14ac:dyDescent="0.25">
      <c r="A177" s="258"/>
      <c r="B177" s="341" t="s">
        <v>1254</v>
      </c>
      <c r="C177" s="342"/>
      <c r="D177" s="342"/>
      <c r="E177" s="346"/>
      <c r="F177" s="182"/>
    </row>
    <row r="178" spans="1:6" ht="15.75" x14ac:dyDescent="0.25">
      <c r="A178" s="258"/>
      <c r="B178" s="341" t="s">
        <v>1255</v>
      </c>
      <c r="C178" s="340"/>
      <c r="D178" s="350">
        <v>103.6</v>
      </c>
      <c r="E178" s="346"/>
      <c r="F178" s="182"/>
    </row>
    <row r="179" spans="1:6" ht="15.75" x14ac:dyDescent="0.25">
      <c r="A179" s="258"/>
      <c r="B179" s="341" t="s">
        <v>1257</v>
      </c>
      <c r="C179" s="343" t="s">
        <v>1268</v>
      </c>
      <c r="D179" s="345">
        <f>(D178-100)/12*7/100+1</f>
        <v>1.0209999999999999</v>
      </c>
      <c r="E179" s="346"/>
      <c r="F179" s="182"/>
    </row>
    <row r="180" spans="1:6" ht="15.75" x14ac:dyDescent="0.25">
      <c r="A180" s="258"/>
      <c r="B180" s="341" t="s">
        <v>1259</v>
      </c>
      <c r="C180" s="343">
        <v>103.7</v>
      </c>
      <c r="D180" s="345"/>
      <c r="E180" s="346"/>
      <c r="F180" s="182"/>
    </row>
    <row r="181" spans="1:6" ht="15.75" x14ac:dyDescent="0.25">
      <c r="A181" s="258"/>
      <c r="B181" s="341" t="s">
        <v>1286</v>
      </c>
      <c r="C181" s="344" t="s">
        <v>1260</v>
      </c>
      <c r="D181" s="345">
        <f>(C180-100)/12*3/100+1</f>
        <v>1.0089999999999999</v>
      </c>
      <c r="E181" s="346"/>
      <c r="F181" s="182"/>
    </row>
    <row r="182" spans="1:6" ht="15.75" x14ac:dyDescent="0.25">
      <c r="A182" s="258"/>
      <c r="B182" s="341" t="s">
        <v>1306</v>
      </c>
      <c r="C182" s="344" t="s">
        <v>1266</v>
      </c>
      <c r="D182" s="345">
        <f>(C180-100)/12*8/100+1</f>
        <v>1.0249999999999999</v>
      </c>
      <c r="E182" s="346"/>
      <c r="F182" s="182"/>
    </row>
    <row r="183" spans="1:6" ht="30" x14ac:dyDescent="0.25">
      <c r="A183" s="258"/>
      <c r="B183" s="341" t="s">
        <v>1288</v>
      </c>
      <c r="C183" s="352" t="s">
        <v>1308</v>
      </c>
      <c r="D183" s="351">
        <f>D179*(D181+D182)/2</f>
        <v>1.038</v>
      </c>
      <c r="E183" s="346"/>
      <c r="F183" s="182"/>
    </row>
    <row r="184" spans="1:6" ht="15.75" x14ac:dyDescent="0.2">
      <c r="A184" s="206" t="s">
        <v>1193</v>
      </c>
      <c r="B184" s="100" t="s">
        <v>1389</v>
      </c>
      <c r="C184" s="240">
        <v>8796326</v>
      </c>
      <c r="D184" s="346">
        <f>D175</f>
        <v>44348</v>
      </c>
      <c r="E184" s="346">
        <f>E175</f>
        <v>44454</v>
      </c>
      <c r="F184" s="182">
        <f t="shared" si="0"/>
        <v>106</v>
      </c>
    </row>
    <row r="185" spans="1:6" ht="15.75" x14ac:dyDescent="0.25">
      <c r="A185" s="258"/>
      <c r="B185" s="341" t="s">
        <v>1253</v>
      </c>
      <c r="C185" s="342"/>
      <c r="D185" s="342"/>
      <c r="E185" s="346"/>
      <c r="F185" s="182"/>
    </row>
    <row r="186" spans="1:6" ht="15.75" x14ac:dyDescent="0.25">
      <c r="A186" s="258"/>
      <c r="B186" s="341" t="s">
        <v>1254</v>
      </c>
      <c r="C186" s="342"/>
      <c r="D186" s="342"/>
      <c r="E186" s="346"/>
      <c r="F186" s="182"/>
    </row>
    <row r="187" spans="1:6" ht="15.75" x14ac:dyDescent="0.25">
      <c r="A187" s="258"/>
      <c r="B187" s="341" t="s">
        <v>1255</v>
      </c>
      <c r="C187" s="340"/>
      <c r="D187" s="350">
        <v>103.6</v>
      </c>
      <c r="E187" s="346"/>
      <c r="F187" s="182"/>
    </row>
    <row r="188" spans="1:6" ht="15.75" x14ac:dyDescent="0.25">
      <c r="A188" s="258"/>
      <c r="B188" s="341" t="s">
        <v>1257</v>
      </c>
      <c r="C188" s="343" t="s">
        <v>1268</v>
      </c>
      <c r="D188" s="345">
        <f>(D187-100)/12*7/100+1</f>
        <v>1.0209999999999999</v>
      </c>
      <c r="E188" s="346"/>
      <c r="F188" s="182"/>
    </row>
    <row r="189" spans="1:6" ht="15.75" x14ac:dyDescent="0.25">
      <c r="A189" s="258"/>
      <c r="B189" s="341" t="s">
        <v>1259</v>
      </c>
      <c r="C189" s="343">
        <v>103.7</v>
      </c>
      <c r="D189" s="345"/>
      <c r="E189" s="346"/>
      <c r="F189" s="182"/>
    </row>
    <row r="190" spans="1:6" ht="15.75" x14ac:dyDescent="0.25">
      <c r="A190" s="258"/>
      <c r="B190" s="341" t="s">
        <v>1286</v>
      </c>
      <c r="C190" s="344" t="s">
        <v>1260</v>
      </c>
      <c r="D190" s="345">
        <f>(C189-100)/12*3/100+1</f>
        <v>1.0089999999999999</v>
      </c>
      <c r="E190" s="346"/>
      <c r="F190" s="182"/>
    </row>
    <row r="191" spans="1:6" ht="15.75" x14ac:dyDescent="0.25">
      <c r="A191" s="258"/>
      <c r="B191" s="341" t="s">
        <v>1306</v>
      </c>
      <c r="C191" s="344" t="s">
        <v>1266</v>
      </c>
      <c r="D191" s="345">
        <f>(C189-100)/12*8/100+1</f>
        <v>1.0249999999999999</v>
      </c>
      <c r="E191" s="346"/>
      <c r="F191" s="182"/>
    </row>
    <row r="192" spans="1:6" ht="30" x14ac:dyDescent="0.25">
      <c r="A192" s="258"/>
      <c r="B192" s="341" t="s">
        <v>1288</v>
      </c>
      <c r="C192" s="352" t="s">
        <v>1308</v>
      </c>
      <c r="D192" s="351">
        <f>D188*(D190+D191)/2</f>
        <v>1.038</v>
      </c>
      <c r="E192" s="346"/>
      <c r="F192" s="182"/>
    </row>
    <row r="193" spans="1:6" ht="15.75" x14ac:dyDescent="0.2">
      <c r="A193" s="208" t="s">
        <v>1197</v>
      </c>
      <c r="B193" s="325" t="s">
        <v>1385</v>
      </c>
      <c r="C193" s="331">
        <v>14668658</v>
      </c>
      <c r="D193" s="451">
        <v>44409</v>
      </c>
      <c r="E193" s="451">
        <v>44484</v>
      </c>
      <c r="F193" s="182">
        <f t="shared" ref="F193" si="1">E193-D193</f>
        <v>75</v>
      </c>
    </row>
    <row r="194" spans="1:6" ht="15.75" x14ac:dyDescent="0.25">
      <c r="A194" s="258"/>
      <c r="B194" s="341" t="s">
        <v>1253</v>
      </c>
      <c r="C194" s="342"/>
      <c r="D194" s="342"/>
      <c r="E194" s="346"/>
      <c r="F194" s="182"/>
    </row>
    <row r="195" spans="1:6" ht="15.75" x14ac:dyDescent="0.25">
      <c r="A195" s="258"/>
      <c r="B195" s="341" t="s">
        <v>1254</v>
      </c>
      <c r="C195" s="342"/>
      <c r="D195" s="342"/>
      <c r="E195" s="346"/>
      <c r="F195" s="182"/>
    </row>
    <row r="196" spans="1:6" ht="15.75" x14ac:dyDescent="0.25">
      <c r="A196" s="258"/>
      <c r="B196" s="341" t="s">
        <v>1255</v>
      </c>
      <c r="C196" s="340"/>
      <c r="D196" s="350">
        <v>103.6</v>
      </c>
      <c r="E196" s="346"/>
      <c r="F196" s="182"/>
    </row>
    <row r="197" spans="1:6" ht="15.75" x14ac:dyDescent="0.25">
      <c r="A197" s="258"/>
      <c r="B197" s="341" t="s">
        <v>1257</v>
      </c>
      <c r="C197" s="343" t="s">
        <v>1268</v>
      </c>
      <c r="D197" s="345">
        <f>(D196-100)/12*7/100+1</f>
        <v>1.0209999999999999</v>
      </c>
      <c r="E197" s="346"/>
      <c r="F197" s="182"/>
    </row>
    <row r="198" spans="1:6" ht="15.75" x14ac:dyDescent="0.25">
      <c r="A198" s="258"/>
      <c r="B198" s="341" t="s">
        <v>1259</v>
      </c>
      <c r="C198" s="343">
        <v>103.7</v>
      </c>
      <c r="D198" s="345"/>
      <c r="E198" s="346"/>
      <c r="F198" s="182"/>
    </row>
    <row r="199" spans="1:6" ht="15.75" x14ac:dyDescent="0.25">
      <c r="A199" s="258"/>
      <c r="B199" s="341" t="s">
        <v>1290</v>
      </c>
      <c r="C199" s="344" t="s">
        <v>1291</v>
      </c>
      <c r="D199" s="345">
        <f>(C198-100)/12*6/100+1</f>
        <v>1.0189999999999999</v>
      </c>
      <c r="E199" s="346"/>
      <c r="F199" s="182"/>
    </row>
    <row r="200" spans="1:6" ht="15.75" x14ac:dyDescent="0.25">
      <c r="A200" s="258"/>
      <c r="B200" s="341" t="s">
        <v>1306</v>
      </c>
      <c r="C200" s="344" t="s">
        <v>1266</v>
      </c>
      <c r="D200" s="345">
        <f>(C198-100)/12*8/100+1</f>
        <v>1.0249999999999999</v>
      </c>
      <c r="E200" s="346"/>
      <c r="F200" s="182"/>
    </row>
    <row r="201" spans="1:6" ht="30" x14ac:dyDescent="0.25">
      <c r="A201" s="258"/>
      <c r="B201" s="341" t="s">
        <v>1288</v>
      </c>
      <c r="C201" s="352" t="s">
        <v>1312</v>
      </c>
      <c r="D201" s="351">
        <f>D197*(D199+D200)/2</f>
        <v>1.0429999999999999</v>
      </c>
      <c r="E201" s="346"/>
      <c r="F201" s="182"/>
    </row>
    <row r="202" spans="1:6" ht="15.75" x14ac:dyDescent="0.2">
      <c r="A202" s="208" t="s">
        <v>1194</v>
      </c>
      <c r="B202" s="325" t="s">
        <v>1236</v>
      </c>
      <c r="C202" s="331">
        <v>14668658</v>
      </c>
      <c r="D202" s="219">
        <v>44409</v>
      </c>
      <c r="E202" s="219">
        <v>44484</v>
      </c>
      <c r="F202" s="182">
        <f t="shared" si="0"/>
        <v>75</v>
      </c>
    </row>
    <row r="203" spans="1:6" ht="15.75" x14ac:dyDescent="0.25">
      <c r="A203" s="258"/>
      <c r="B203" s="341" t="s">
        <v>1253</v>
      </c>
      <c r="C203" s="342"/>
      <c r="D203" s="342"/>
      <c r="E203" s="346"/>
      <c r="F203" s="182"/>
    </row>
    <row r="204" spans="1:6" ht="15.75" x14ac:dyDescent="0.25">
      <c r="A204" s="258"/>
      <c r="B204" s="341" t="s">
        <v>1254</v>
      </c>
      <c r="C204" s="342"/>
      <c r="D204" s="342"/>
      <c r="E204" s="346"/>
      <c r="F204" s="182"/>
    </row>
    <row r="205" spans="1:6" ht="15.75" x14ac:dyDescent="0.25">
      <c r="A205" s="258"/>
      <c r="B205" s="341" t="s">
        <v>1255</v>
      </c>
      <c r="C205" s="340"/>
      <c r="D205" s="350">
        <v>103.6</v>
      </c>
      <c r="E205" s="346"/>
      <c r="F205" s="182"/>
    </row>
    <row r="206" spans="1:6" ht="15.75" x14ac:dyDescent="0.25">
      <c r="A206" s="258"/>
      <c r="B206" s="341" t="s">
        <v>1257</v>
      </c>
      <c r="C206" s="343" t="s">
        <v>1268</v>
      </c>
      <c r="D206" s="345">
        <f>(D205-100)/12*7/100+1</f>
        <v>1.0209999999999999</v>
      </c>
      <c r="E206" s="346"/>
      <c r="F206" s="182"/>
    </row>
    <row r="207" spans="1:6" ht="15.75" x14ac:dyDescent="0.25">
      <c r="A207" s="258"/>
      <c r="B207" s="341" t="s">
        <v>1259</v>
      </c>
      <c r="C207" s="343">
        <v>103.7</v>
      </c>
      <c r="D207" s="345"/>
      <c r="E207" s="346"/>
      <c r="F207" s="182"/>
    </row>
    <row r="208" spans="1:6" ht="15.75" x14ac:dyDescent="0.25">
      <c r="A208" s="258"/>
      <c r="B208" s="341" t="s">
        <v>1290</v>
      </c>
      <c r="C208" s="344" t="s">
        <v>1291</v>
      </c>
      <c r="D208" s="345">
        <f>(C207-100)/12*6/100+1</f>
        <v>1.0189999999999999</v>
      </c>
      <c r="E208" s="346"/>
      <c r="F208" s="182"/>
    </row>
    <row r="209" spans="1:6" ht="15.75" x14ac:dyDescent="0.25">
      <c r="A209" s="258"/>
      <c r="B209" s="341" t="s">
        <v>1306</v>
      </c>
      <c r="C209" s="344" t="s">
        <v>1266</v>
      </c>
      <c r="D209" s="345">
        <f>(C207-100)/12*8/100+1</f>
        <v>1.0249999999999999</v>
      </c>
      <c r="E209" s="346"/>
      <c r="F209" s="182"/>
    </row>
    <row r="210" spans="1:6" ht="30" x14ac:dyDescent="0.25">
      <c r="A210" s="258"/>
      <c r="B210" s="341" t="s">
        <v>1288</v>
      </c>
      <c r="C210" s="352" t="s">
        <v>1312</v>
      </c>
      <c r="D210" s="351">
        <f>D206*(D208+D209)/2</f>
        <v>1.0429999999999999</v>
      </c>
      <c r="E210" s="346"/>
      <c r="F210" s="182"/>
    </row>
    <row r="211" spans="1:6" ht="15.75" x14ac:dyDescent="0.2">
      <c r="A211" s="211" t="s">
        <v>1386</v>
      </c>
      <c r="B211" s="171" t="s">
        <v>1209</v>
      </c>
      <c r="C211" s="240">
        <v>2220293</v>
      </c>
      <c r="D211" s="346">
        <f>D21</f>
        <v>44348</v>
      </c>
      <c r="E211" s="346">
        <f>E21</f>
        <v>44484</v>
      </c>
      <c r="F211" s="182">
        <f t="shared" si="0"/>
        <v>136</v>
      </c>
    </row>
    <row r="212" spans="1:6" ht="15.75" x14ac:dyDescent="0.25">
      <c r="A212" s="258"/>
      <c r="B212" s="341" t="s">
        <v>1253</v>
      </c>
      <c r="C212" s="342"/>
      <c r="D212" s="342"/>
      <c r="E212" s="346"/>
      <c r="F212" s="182"/>
    </row>
    <row r="213" spans="1:6" ht="15.75" x14ac:dyDescent="0.25">
      <c r="A213" s="258"/>
      <c r="B213" s="341" t="s">
        <v>1254</v>
      </c>
      <c r="C213" s="342"/>
      <c r="D213" s="342"/>
      <c r="E213" s="346"/>
      <c r="F213" s="182"/>
    </row>
    <row r="214" spans="1:6" ht="15.75" x14ac:dyDescent="0.25">
      <c r="A214" s="258"/>
      <c r="B214" s="341" t="s">
        <v>1255</v>
      </c>
      <c r="C214" s="340"/>
      <c r="D214" s="350">
        <v>103.6</v>
      </c>
      <c r="E214" s="346"/>
      <c r="F214" s="182"/>
    </row>
    <row r="215" spans="1:6" ht="15.75" x14ac:dyDescent="0.25">
      <c r="A215" s="258"/>
      <c r="B215" s="341" t="s">
        <v>1257</v>
      </c>
      <c r="C215" s="343" t="s">
        <v>1268</v>
      </c>
      <c r="D215" s="345">
        <f>(D214-100)/12*7/100+1</f>
        <v>1.0209999999999999</v>
      </c>
      <c r="E215" s="346"/>
      <c r="F215" s="182"/>
    </row>
    <row r="216" spans="1:6" ht="15.75" x14ac:dyDescent="0.25">
      <c r="A216" s="258"/>
      <c r="B216" s="341" t="s">
        <v>1259</v>
      </c>
      <c r="C216" s="343">
        <v>103.7</v>
      </c>
      <c r="D216" s="345"/>
      <c r="E216" s="346"/>
      <c r="F216" s="182"/>
    </row>
    <row r="217" spans="1:6" ht="15.75" x14ac:dyDescent="0.25">
      <c r="A217" s="258"/>
      <c r="B217" s="341" t="s">
        <v>1286</v>
      </c>
      <c r="C217" s="344" t="s">
        <v>1260</v>
      </c>
      <c r="D217" s="345">
        <f>(C216-100)/12*3/100+1</f>
        <v>1.0089999999999999</v>
      </c>
      <c r="E217" s="346"/>
      <c r="F217" s="182"/>
    </row>
    <row r="218" spans="1:6" ht="15.75" x14ac:dyDescent="0.25">
      <c r="A218" s="258"/>
      <c r="B218" s="341" t="s">
        <v>1306</v>
      </c>
      <c r="C218" s="344" t="s">
        <v>1266</v>
      </c>
      <c r="D218" s="345">
        <f>(C216-100)/12*8/100+1</f>
        <v>1.0249999999999999</v>
      </c>
      <c r="E218" s="346"/>
      <c r="F218" s="182"/>
    </row>
    <row r="219" spans="1:6" ht="30" x14ac:dyDescent="0.25">
      <c r="A219" s="258"/>
      <c r="B219" s="341" t="s">
        <v>1288</v>
      </c>
      <c r="C219" s="352" t="s">
        <v>1308</v>
      </c>
      <c r="D219" s="351">
        <f>D215*(D217+D218)/2</f>
        <v>1.038</v>
      </c>
      <c r="E219" s="346"/>
      <c r="F219" s="182"/>
    </row>
    <row r="220" spans="1:6" ht="15.75" x14ac:dyDescent="0.2">
      <c r="A220" s="282" t="s">
        <v>295</v>
      </c>
      <c r="B220" s="281" t="s">
        <v>296</v>
      </c>
      <c r="C220" s="154">
        <v>704037</v>
      </c>
      <c r="D220" s="346">
        <v>44440</v>
      </c>
      <c r="E220" s="346">
        <v>44484</v>
      </c>
      <c r="F220" s="182">
        <f t="shared" si="0"/>
        <v>44</v>
      </c>
    </row>
    <row r="221" spans="1:6" ht="15.75" x14ac:dyDescent="0.2">
      <c r="A221" s="256" t="s">
        <v>297</v>
      </c>
      <c r="B221" s="284" t="s">
        <v>989</v>
      </c>
      <c r="C221" s="240">
        <v>105380</v>
      </c>
      <c r="D221" s="346">
        <f>D220</f>
        <v>44440</v>
      </c>
      <c r="E221" s="346">
        <v>44459</v>
      </c>
      <c r="F221" s="182">
        <f t="shared" si="0"/>
        <v>19</v>
      </c>
    </row>
    <row r="222" spans="1:6" ht="15.75" x14ac:dyDescent="0.25">
      <c r="A222" s="258"/>
      <c r="B222" s="341" t="s">
        <v>1253</v>
      </c>
      <c r="C222" s="342"/>
      <c r="D222" s="342"/>
      <c r="E222" s="346"/>
      <c r="F222" s="182"/>
    </row>
    <row r="223" spans="1:6" ht="15.75" x14ac:dyDescent="0.25">
      <c r="A223" s="258"/>
      <c r="B223" s="341" t="s">
        <v>1254</v>
      </c>
      <c r="C223" s="342"/>
      <c r="D223" s="342"/>
      <c r="E223" s="346"/>
      <c r="F223" s="182"/>
    </row>
    <row r="224" spans="1:6" ht="15.75" x14ac:dyDescent="0.25">
      <c r="A224" s="258"/>
      <c r="B224" s="341" t="s">
        <v>1255</v>
      </c>
      <c r="C224" s="340"/>
      <c r="D224" s="350">
        <v>103.6</v>
      </c>
      <c r="E224" s="346"/>
      <c r="F224" s="182"/>
    </row>
    <row r="225" spans="1:6" ht="15.75" x14ac:dyDescent="0.25">
      <c r="A225" s="258"/>
      <c r="B225" s="341" t="s">
        <v>1257</v>
      </c>
      <c r="C225" s="343" t="s">
        <v>1268</v>
      </c>
      <c r="D225" s="345">
        <f>(D224-100)/12*7/100+1</f>
        <v>1.0209999999999999</v>
      </c>
      <c r="E225" s="346"/>
      <c r="F225" s="182"/>
    </row>
    <row r="226" spans="1:6" ht="15.75" x14ac:dyDescent="0.25">
      <c r="A226" s="258"/>
      <c r="B226" s="341" t="s">
        <v>1259</v>
      </c>
      <c r="C226" s="343">
        <v>103.7</v>
      </c>
      <c r="D226" s="345"/>
      <c r="E226" s="346"/>
      <c r="F226" s="182"/>
    </row>
    <row r="227" spans="1:6" ht="15.75" x14ac:dyDescent="0.25">
      <c r="A227" s="258"/>
      <c r="B227" s="341" t="s">
        <v>1304</v>
      </c>
      <c r="C227" s="344" t="s">
        <v>1267</v>
      </c>
      <c r="D227" s="345">
        <f>(C226-100)/12*7/100+1</f>
        <v>1.022</v>
      </c>
      <c r="E227" s="346"/>
      <c r="F227" s="182"/>
    </row>
    <row r="228" spans="1:6" ht="15.75" x14ac:dyDescent="0.25">
      <c r="A228" s="258"/>
      <c r="B228" s="341" t="s">
        <v>1301</v>
      </c>
      <c r="C228" s="344" t="s">
        <v>1266</v>
      </c>
      <c r="D228" s="345">
        <f>(C226-100)/12*8/100+1</f>
        <v>1.0249999999999999</v>
      </c>
      <c r="E228" s="346"/>
      <c r="F228" s="182"/>
    </row>
    <row r="229" spans="1:6" ht="30" x14ac:dyDescent="0.25">
      <c r="A229" s="258"/>
      <c r="B229" s="341" t="s">
        <v>1288</v>
      </c>
      <c r="C229" s="352" t="s">
        <v>1302</v>
      </c>
      <c r="D229" s="351">
        <f>D225*(D227+D228)/2</f>
        <v>1.0449999999999999</v>
      </c>
      <c r="E229" s="346"/>
      <c r="F229" s="182"/>
    </row>
    <row r="230" spans="1:6" ht="15.75" x14ac:dyDescent="0.2">
      <c r="A230" s="258" t="s">
        <v>298</v>
      </c>
      <c r="B230" s="255" t="s">
        <v>988</v>
      </c>
      <c r="C230" s="240">
        <v>584852</v>
      </c>
      <c r="D230" s="346">
        <v>44454</v>
      </c>
      <c r="E230" s="346">
        <v>44484</v>
      </c>
      <c r="F230" s="182">
        <f t="shared" si="0"/>
        <v>30</v>
      </c>
    </row>
    <row r="231" spans="1:6" ht="15.75" x14ac:dyDescent="0.25">
      <c r="A231" s="258"/>
      <c r="B231" s="341" t="s">
        <v>1253</v>
      </c>
      <c r="C231" s="342"/>
      <c r="D231" s="342"/>
      <c r="E231" s="346"/>
      <c r="F231" s="182"/>
    </row>
    <row r="232" spans="1:6" ht="15.75" x14ac:dyDescent="0.25">
      <c r="A232" s="258"/>
      <c r="B232" s="341" t="s">
        <v>1254</v>
      </c>
      <c r="C232" s="342"/>
      <c r="D232" s="342"/>
      <c r="E232" s="346"/>
      <c r="F232" s="182"/>
    </row>
    <row r="233" spans="1:6" ht="15.75" x14ac:dyDescent="0.25">
      <c r="A233" s="258"/>
      <c r="B233" s="341" t="s">
        <v>1255</v>
      </c>
      <c r="C233" s="340"/>
      <c r="D233" s="350">
        <v>103.6</v>
      </c>
      <c r="E233" s="346"/>
      <c r="F233" s="182"/>
    </row>
    <row r="234" spans="1:6" ht="15.75" x14ac:dyDescent="0.25">
      <c r="A234" s="258"/>
      <c r="B234" s="341" t="s">
        <v>1257</v>
      </c>
      <c r="C234" s="343" t="s">
        <v>1268</v>
      </c>
      <c r="D234" s="345">
        <f>(D233-100)/12*7/100+1</f>
        <v>1.0209999999999999</v>
      </c>
      <c r="E234" s="346"/>
      <c r="F234" s="182"/>
    </row>
    <row r="235" spans="1:6" ht="15.75" x14ac:dyDescent="0.25">
      <c r="A235" s="258"/>
      <c r="B235" s="341" t="s">
        <v>1259</v>
      </c>
      <c r="C235" s="343">
        <v>103.7</v>
      </c>
      <c r="D235" s="345"/>
      <c r="E235" s="346"/>
      <c r="F235" s="182"/>
    </row>
    <row r="236" spans="1:6" ht="15.75" x14ac:dyDescent="0.25">
      <c r="A236" s="258"/>
      <c r="B236" s="341" t="s">
        <v>1309</v>
      </c>
      <c r="C236" s="344" t="s">
        <v>1266</v>
      </c>
      <c r="D236" s="345">
        <f>(C235-100)/12*8/100+1</f>
        <v>1.0249999999999999</v>
      </c>
      <c r="E236" s="346"/>
      <c r="F236" s="182"/>
    </row>
    <row r="237" spans="1:6" ht="15.75" x14ac:dyDescent="0.25">
      <c r="A237" s="258"/>
      <c r="B237" s="341" t="s">
        <v>1310</v>
      </c>
      <c r="C237" s="344" t="s">
        <v>1269</v>
      </c>
      <c r="D237" s="345">
        <f>(C235-100)/12*9/100+1</f>
        <v>1.028</v>
      </c>
      <c r="E237" s="346"/>
      <c r="F237" s="182"/>
    </row>
    <row r="238" spans="1:6" ht="30" x14ac:dyDescent="0.25">
      <c r="A238" s="258"/>
      <c r="B238" s="341" t="s">
        <v>1288</v>
      </c>
      <c r="C238" s="352" t="s">
        <v>1311</v>
      </c>
      <c r="D238" s="351">
        <f>D234*(D236+D237)/2</f>
        <v>1.048</v>
      </c>
      <c r="E238" s="346"/>
      <c r="F238" s="182"/>
    </row>
    <row r="239" spans="1:6" ht="15.75" x14ac:dyDescent="0.2">
      <c r="A239" s="258" t="s">
        <v>299</v>
      </c>
      <c r="B239" s="255" t="s">
        <v>1209</v>
      </c>
      <c r="C239" s="240">
        <v>13805</v>
      </c>
      <c r="D239" s="346">
        <f>D220</f>
        <v>44440</v>
      </c>
      <c r="E239" s="346">
        <f>E220</f>
        <v>44484</v>
      </c>
      <c r="F239" s="182">
        <f t="shared" ref="F239" si="2">E239-D239</f>
        <v>44</v>
      </c>
    </row>
    <row r="240" spans="1:6" ht="15.75" x14ac:dyDescent="0.25">
      <c r="A240" s="258"/>
      <c r="B240" s="341" t="s">
        <v>1253</v>
      </c>
      <c r="C240" s="342"/>
      <c r="D240" s="342"/>
      <c r="E240" s="346"/>
      <c r="F240" s="182"/>
    </row>
    <row r="241" spans="1:6" ht="15.75" x14ac:dyDescent="0.25">
      <c r="A241" s="258"/>
      <c r="B241" s="341" t="s">
        <v>1254</v>
      </c>
      <c r="C241" s="342"/>
      <c r="D241" s="342"/>
      <c r="E241" s="346"/>
      <c r="F241" s="182"/>
    </row>
    <row r="242" spans="1:6" ht="15.75" x14ac:dyDescent="0.25">
      <c r="A242" s="258"/>
      <c r="B242" s="341" t="s">
        <v>1255</v>
      </c>
      <c r="C242" s="340"/>
      <c r="D242" s="350">
        <v>103.6</v>
      </c>
      <c r="E242" s="346"/>
      <c r="F242" s="182"/>
    </row>
    <row r="243" spans="1:6" ht="15.75" x14ac:dyDescent="0.25">
      <c r="A243" s="258"/>
      <c r="B243" s="341" t="s">
        <v>1257</v>
      </c>
      <c r="C243" s="343" t="s">
        <v>1268</v>
      </c>
      <c r="D243" s="345">
        <f>(D242-100)/12*7/100+1</f>
        <v>1.0209999999999999</v>
      </c>
      <c r="E243" s="346"/>
      <c r="F243" s="182"/>
    </row>
    <row r="244" spans="1:6" ht="15.75" x14ac:dyDescent="0.25">
      <c r="A244" s="258"/>
      <c r="B244" s="341" t="s">
        <v>1259</v>
      </c>
      <c r="C244" s="343">
        <v>103.7</v>
      </c>
      <c r="D244" s="345"/>
      <c r="E244" s="346"/>
      <c r="F244" s="182"/>
    </row>
    <row r="245" spans="1:6" ht="15.75" x14ac:dyDescent="0.25">
      <c r="A245" s="258"/>
      <c r="B245" s="341" t="s">
        <v>1304</v>
      </c>
      <c r="C245" s="344" t="s">
        <v>1267</v>
      </c>
      <c r="D245" s="345">
        <f>(C244-100)/12*7/100+1</f>
        <v>1.022</v>
      </c>
      <c r="E245" s="346"/>
      <c r="F245" s="182"/>
    </row>
    <row r="246" spans="1:6" ht="15.75" x14ac:dyDescent="0.25">
      <c r="A246" s="258"/>
      <c r="B246" s="341" t="s">
        <v>1310</v>
      </c>
      <c r="C246" s="344" t="s">
        <v>1269</v>
      </c>
      <c r="D246" s="345">
        <f>(C244-100)/12*9/100+1</f>
        <v>1.028</v>
      </c>
      <c r="E246" s="346"/>
      <c r="F246" s="182"/>
    </row>
    <row r="247" spans="1:6" ht="30" x14ac:dyDescent="0.25">
      <c r="A247" s="258"/>
      <c r="B247" s="341" t="s">
        <v>1288</v>
      </c>
      <c r="C247" s="352" t="s">
        <v>1313</v>
      </c>
      <c r="D247" s="351">
        <f>D243*(D245+D246)/2</f>
        <v>1.0469999999999999</v>
      </c>
      <c r="E247" s="346"/>
      <c r="F247" s="182"/>
    </row>
    <row r="248" spans="1:6" ht="15.75" x14ac:dyDescent="0.25">
      <c r="A248" s="318"/>
      <c r="B248" s="320" t="s">
        <v>1233</v>
      </c>
      <c r="C248" s="326">
        <v>115882160</v>
      </c>
    </row>
    <row r="249" spans="1:6" ht="15.75" x14ac:dyDescent="0.25">
      <c r="A249" s="324"/>
      <c r="B249" s="320" t="s">
        <v>1234</v>
      </c>
      <c r="C249" s="322">
        <v>23176432</v>
      </c>
    </row>
    <row r="250" spans="1:6" ht="15.75" x14ac:dyDescent="0.25">
      <c r="A250" s="324"/>
      <c r="B250" s="320" t="s">
        <v>1235</v>
      </c>
      <c r="C250" s="322">
        <v>139058592</v>
      </c>
    </row>
    <row r="265" outlineLevel="1" x14ac:dyDescent="0.2"/>
    <row r="266" outlineLevel="1" x14ac:dyDescent="0.2"/>
    <row r="267" outlineLevel="1" x14ac:dyDescent="0.2"/>
    <row r="314" outlineLevel="1" x14ac:dyDescent="0.2"/>
    <row r="315" outlineLevel="1" x14ac:dyDescent="0.2"/>
    <row r="316" outlineLevel="1" x14ac:dyDescent="0.2"/>
    <row r="358" outlineLevel="1" x14ac:dyDescent="0.2"/>
    <row r="359" outlineLevel="1" x14ac:dyDescent="0.2"/>
    <row r="360" outlineLevel="1" x14ac:dyDescent="0.2"/>
    <row r="378" outlineLevel="1" x14ac:dyDescent="0.2"/>
    <row r="379" outlineLevel="1" x14ac:dyDescent="0.2"/>
    <row r="380" outlineLevel="1" x14ac:dyDescent="0.2"/>
    <row r="414" outlineLevel="1" x14ac:dyDescent="0.2"/>
    <row r="415" outlineLevel="1" x14ac:dyDescent="0.2"/>
    <row r="416" outlineLevel="1" x14ac:dyDescent="0.2"/>
    <row r="441" outlineLevel="1" x14ac:dyDescent="0.2"/>
    <row r="442" outlineLevel="1" x14ac:dyDescent="0.2"/>
    <row r="443" outlineLevel="1" x14ac:dyDescent="0.2"/>
    <row r="464" outlineLevel="1" x14ac:dyDescent="0.2"/>
    <row r="465" outlineLevel="1" x14ac:dyDescent="0.2"/>
    <row r="466" outlineLevel="1" x14ac:dyDescent="0.2"/>
    <row r="509" outlineLevel="1" x14ac:dyDescent="0.2"/>
    <row r="510" outlineLevel="1" x14ac:dyDescent="0.2"/>
    <row r="511" outlineLevel="1" x14ac:dyDescent="0.2"/>
    <row r="538" outlineLevel="1" x14ac:dyDescent="0.2"/>
    <row r="539" outlineLevel="1" x14ac:dyDescent="0.2"/>
    <row r="540" outlineLevel="1" x14ac:dyDescent="0.2"/>
    <row r="572" outlineLevel="1" x14ac:dyDescent="0.2"/>
    <row r="573" outlineLevel="1" x14ac:dyDescent="0.2"/>
    <row r="574" outlineLevel="1" x14ac:dyDescent="0.2"/>
    <row r="599" outlineLevel="1" x14ac:dyDescent="0.2"/>
    <row r="600" outlineLevel="1" x14ac:dyDescent="0.2"/>
    <row r="601" outlineLevel="1" x14ac:dyDescent="0.2"/>
    <row r="629" outlineLevel="1" x14ac:dyDescent="0.2"/>
    <row r="630" outlineLevel="1" x14ac:dyDescent="0.2"/>
    <row r="631" outlineLevel="1" x14ac:dyDescent="0.2"/>
    <row r="660" outlineLevel="1" x14ac:dyDescent="0.2"/>
    <row r="661" outlineLevel="1" x14ac:dyDescent="0.2"/>
    <row r="662" outlineLevel="1" x14ac:dyDescent="0.2"/>
    <row r="682" outlineLevel="1" x14ac:dyDescent="0.2"/>
    <row r="683" outlineLevel="1" x14ac:dyDescent="0.2"/>
    <row r="684" outlineLevel="1" x14ac:dyDescent="0.2"/>
    <row r="708" outlineLevel="1" x14ac:dyDescent="0.2"/>
    <row r="709" outlineLevel="1" x14ac:dyDescent="0.2"/>
    <row r="710" outlineLevel="1" x14ac:dyDescent="0.2"/>
    <row r="736" outlineLevel="1" x14ac:dyDescent="0.2"/>
    <row r="737" outlineLevel="1" x14ac:dyDescent="0.2"/>
    <row r="738" outlineLevel="1" x14ac:dyDescent="0.2"/>
    <row r="759" outlineLevel="1" x14ac:dyDescent="0.2"/>
    <row r="760" outlineLevel="1" x14ac:dyDescent="0.2"/>
    <row r="761" outlineLevel="1" x14ac:dyDescent="0.2"/>
    <row r="783" outlineLevel="1" x14ac:dyDescent="0.2"/>
    <row r="784" outlineLevel="1" x14ac:dyDescent="0.2"/>
    <row r="785" outlineLevel="1" x14ac:dyDescent="0.2"/>
    <row r="807" outlineLevel="1" x14ac:dyDescent="0.2"/>
    <row r="808" outlineLevel="1" x14ac:dyDescent="0.2"/>
    <row r="809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59" outlineLevel="1" x14ac:dyDescent="0.2"/>
    <row r="1060" outlineLevel="1" x14ac:dyDescent="0.2"/>
    <row r="1061" outlineLevel="1" x14ac:dyDescent="0.2"/>
    <row r="1062" outlineLevel="1" x14ac:dyDescent="0.2"/>
    <row r="1085" outlineLevel="1" x14ac:dyDescent="0.2"/>
    <row r="1086" outlineLevel="1" x14ac:dyDescent="0.2"/>
    <row r="1087" outlineLevel="1" x14ac:dyDescent="0.2"/>
    <row r="1088" outlineLevel="1" x14ac:dyDescent="0.2"/>
  </sheetData>
  <mergeCells count="3">
    <mergeCell ref="A1:F1"/>
    <mergeCell ref="D2:E2"/>
    <mergeCell ref="F2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26"/>
  <sheetViews>
    <sheetView view="pageBreakPreview" topLeftCell="B1" zoomScaleNormal="100" zoomScaleSheetLayoutView="100" workbookViewId="0">
      <selection activeCell="C318" sqref="C318"/>
    </sheetView>
  </sheetViews>
  <sheetFormatPr defaultRowHeight="12.75" outlineLevelRow="3" x14ac:dyDescent="0.2"/>
  <cols>
    <col min="1" max="1" width="11.28515625" style="98" bestFit="1" customWidth="1"/>
    <col min="2" max="2" width="21.85546875" customWidth="1"/>
    <col min="3" max="3" width="54.42578125" customWidth="1"/>
    <col min="4" max="4" width="19" customWidth="1"/>
    <col min="5" max="5" width="14.85546875" style="167" customWidth="1"/>
    <col min="6" max="6" width="38.7109375" customWidth="1"/>
    <col min="7" max="7" width="15" bestFit="1" customWidth="1"/>
    <col min="9" max="9" width="14" customWidth="1"/>
    <col min="10" max="10" width="14.85546875" customWidth="1"/>
    <col min="11" max="11" width="12.85546875" customWidth="1"/>
  </cols>
  <sheetData>
    <row r="1" spans="1:11" ht="29.25" customHeight="1" x14ac:dyDescent="0.2">
      <c r="A1" s="602" t="s">
        <v>244</v>
      </c>
      <c r="B1" s="602"/>
      <c r="C1" s="602"/>
      <c r="D1" s="602"/>
      <c r="E1" s="602"/>
    </row>
    <row r="2" spans="1:11" ht="29.25" customHeight="1" x14ac:dyDescent="0.2">
      <c r="A2" s="683" t="s">
        <v>302</v>
      </c>
      <c r="B2" s="602"/>
      <c r="C2" s="602"/>
      <c r="D2" s="602"/>
      <c r="E2" s="602"/>
    </row>
    <row r="3" spans="1:11" ht="29.25" customHeight="1" x14ac:dyDescent="0.25">
      <c r="A3" s="205"/>
      <c r="B3" s="147"/>
      <c r="C3" s="147"/>
      <c r="D3" s="147"/>
      <c r="E3" s="148"/>
      <c r="I3" t="s">
        <v>962</v>
      </c>
    </row>
    <row r="4" spans="1:11" ht="184.9" customHeight="1" x14ac:dyDescent="0.2">
      <c r="A4" s="149" t="s">
        <v>1</v>
      </c>
      <c r="B4" s="149" t="s">
        <v>245</v>
      </c>
      <c r="C4" s="150" t="s">
        <v>246</v>
      </c>
      <c r="D4" s="175" t="s">
        <v>247</v>
      </c>
      <c r="E4" s="150" t="s">
        <v>248</v>
      </c>
      <c r="F4" s="150" t="s">
        <v>681</v>
      </c>
      <c r="G4" s="150" t="s">
        <v>728</v>
      </c>
      <c r="H4" s="150" t="s">
        <v>732</v>
      </c>
      <c r="I4" s="218" t="s">
        <v>963</v>
      </c>
      <c r="J4" s="218" t="s">
        <v>964</v>
      </c>
      <c r="K4" s="218" t="s">
        <v>965</v>
      </c>
    </row>
    <row r="5" spans="1:11" ht="15.75" x14ac:dyDescent="0.2">
      <c r="A5" s="149"/>
      <c r="B5" s="149"/>
      <c r="C5" s="150"/>
      <c r="D5" s="175"/>
      <c r="E5" s="150"/>
      <c r="F5" s="150"/>
      <c r="G5" s="150"/>
      <c r="H5" s="150"/>
      <c r="I5" s="295"/>
      <c r="J5" s="295"/>
      <c r="K5" s="295"/>
    </row>
    <row r="6" spans="1:11" ht="15.75" x14ac:dyDescent="0.2">
      <c r="A6" s="149">
        <v>1</v>
      </c>
      <c r="B6" s="149">
        <v>2</v>
      </c>
      <c r="C6" s="149">
        <v>3</v>
      </c>
      <c r="D6" s="176">
        <v>4</v>
      </c>
      <c r="E6" s="151">
        <v>5</v>
      </c>
      <c r="F6" s="182"/>
      <c r="G6" s="182"/>
      <c r="H6" s="182"/>
    </row>
    <row r="7" spans="1:11" ht="22.15" customHeight="1" x14ac:dyDescent="0.2">
      <c r="A7" s="209">
        <v>1</v>
      </c>
      <c r="B7" s="152"/>
      <c r="C7" s="153" t="s">
        <v>249</v>
      </c>
      <c r="D7" s="177" t="s">
        <v>250</v>
      </c>
      <c r="E7" s="154">
        <v>1</v>
      </c>
      <c r="F7" s="182"/>
      <c r="G7" s="182"/>
      <c r="H7" s="182"/>
      <c r="I7" s="219">
        <v>44166</v>
      </c>
      <c r="J7" s="219">
        <v>44256</v>
      </c>
      <c r="K7">
        <f>J7-I7</f>
        <v>90</v>
      </c>
    </row>
    <row r="8" spans="1:11" ht="34.5" customHeight="1" outlineLevel="1" x14ac:dyDescent="0.2">
      <c r="A8" s="206" t="s">
        <v>251</v>
      </c>
      <c r="B8" s="155"/>
      <c r="C8" s="156" t="s">
        <v>252</v>
      </c>
      <c r="D8" s="178" t="s">
        <v>250</v>
      </c>
      <c r="E8" s="158">
        <v>1</v>
      </c>
      <c r="F8" s="182"/>
      <c r="G8" s="182"/>
      <c r="H8" s="182"/>
    </row>
    <row r="9" spans="1:11" ht="25.5" outlineLevel="1" x14ac:dyDescent="0.2">
      <c r="A9" s="211" t="s">
        <v>961</v>
      </c>
      <c r="B9" s="171" t="s">
        <v>70</v>
      </c>
      <c r="C9" s="171" t="s">
        <v>90</v>
      </c>
      <c r="D9" s="184"/>
      <c r="E9" s="185"/>
      <c r="F9" s="182"/>
      <c r="G9" s="182"/>
      <c r="H9" s="182"/>
    </row>
    <row r="10" spans="1:11" ht="32.450000000000003" customHeight="1" x14ac:dyDescent="0.2">
      <c r="A10" s="210" t="s">
        <v>253</v>
      </c>
      <c r="B10" s="159"/>
      <c r="C10" s="153" t="s">
        <v>254</v>
      </c>
      <c r="D10" s="177" t="s">
        <v>250</v>
      </c>
      <c r="E10" s="154">
        <v>1</v>
      </c>
      <c r="F10" s="182"/>
      <c r="G10" s="182"/>
      <c r="H10" s="182"/>
    </row>
    <row r="11" spans="1:11" ht="15.75" customHeight="1" outlineLevel="1" x14ac:dyDescent="0.2">
      <c r="A11" s="210" t="s">
        <v>255</v>
      </c>
      <c r="B11" s="268"/>
      <c r="C11" s="269" t="s">
        <v>966</v>
      </c>
      <c r="D11" s="270" t="s">
        <v>250</v>
      </c>
      <c r="E11" s="271">
        <v>1</v>
      </c>
      <c r="F11" s="182"/>
      <c r="G11" s="182"/>
      <c r="H11" s="182"/>
      <c r="I11" s="219">
        <v>44287</v>
      </c>
      <c r="J11" s="219">
        <v>44348</v>
      </c>
      <c r="K11">
        <f>J11-I11</f>
        <v>61</v>
      </c>
    </row>
    <row r="12" spans="1:11" ht="33.75" hidden="1" customHeight="1" outlineLevel="2" x14ac:dyDescent="0.2">
      <c r="A12" s="191" t="s">
        <v>256</v>
      </c>
      <c r="B12" s="132" t="s">
        <v>20</v>
      </c>
      <c r="C12" s="160" t="s">
        <v>21</v>
      </c>
      <c r="D12" s="179" t="s">
        <v>262</v>
      </c>
      <c r="E12" s="168">
        <f>1483.2</f>
        <v>1483.2</v>
      </c>
      <c r="F12" s="182"/>
      <c r="G12" s="182"/>
      <c r="H12" s="182"/>
    </row>
    <row r="13" spans="1:11" s="273" customFormat="1" ht="15.75" hidden="1" outlineLevel="2" x14ac:dyDescent="0.2">
      <c r="A13" s="208"/>
      <c r="B13" s="100" t="s">
        <v>103</v>
      </c>
      <c r="C13" s="100" t="s">
        <v>104</v>
      </c>
      <c r="D13" s="178"/>
      <c r="E13" s="277"/>
      <c r="F13" s="272"/>
      <c r="G13" s="272"/>
      <c r="H13" s="272"/>
    </row>
    <row r="14" spans="1:11" s="275" customFormat="1" ht="38.25" hidden="1" outlineLevel="2" x14ac:dyDescent="0.2">
      <c r="A14" s="191" t="s">
        <v>257</v>
      </c>
      <c r="B14" s="132" t="s">
        <v>682</v>
      </c>
      <c r="C14" s="132" t="s">
        <v>706</v>
      </c>
      <c r="D14" s="180" t="s">
        <v>262</v>
      </c>
      <c r="E14" s="233">
        <v>618</v>
      </c>
      <c r="F14" s="276" t="s">
        <v>684</v>
      </c>
      <c r="G14" s="274"/>
      <c r="H14" s="274"/>
    </row>
    <row r="15" spans="1:11" s="275" customFormat="1" ht="38.25" hidden="1" outlineLevel="2" x14ac:dyDescent="0.2">
      <c r="A15" s="191" t="s">
        <v>1022</v>
      </c>
      <c r="B15" s="132" t="s">
        <v>683</v>
      </c>
      <c r="C15" s="132" t="s">
        <v>704</v>
      </c>
      <c r="D15" s="180" t="s">
        <v>271</v>
      </c>
      <c r="E15" s="233">
        <v>2060</v>
      </c>
      <c r="F15" s="276" t="s">
        <v>705</v>
      </c>
      <c r="G15" s="274"/>
      <c r="H15" s="274"/>
    </row>
    <row r="16" spans="1:11" s="275" customFormat="1" ht="38.25" hidden="1" outlineLevel="2" x14ac:dyDescent="0.2">
      <c r="A16" s="191" t="s">
        <v>1023</v>
      </c>
      <c r="B16" s="132" t="s">
        <v>685</v>
      </c>
      <c r="C16" s="132" t="s">
        <v>707</v>
      </c>
      <c r="D16" s="180" t="s">
        <v>262</v>
      </c>
      <c r="E16" s="233">
        <v>618</v>
      </c>
      <c r="F16" s="276" t="s">
        <v>708</v>
      </c>
      <c r="G16" s="274"/>
      <c r="H16" s="274"/>
    </row>
    <row r="17" spans="1:8" s="275" customFormat="1" ht="127.5" hidden="1" outlineLevel="2" x14ac:dyDescent="0.2">
      <c r="A17" s="191" t="s">
        <v>1024</v>
      </c>
      <c r="B17" s="132" t="s">
        <v>686</v>
      </c>
      <c r="C17" s="132" t="s">
        <v>688</v>
      </c>
      <c r="D17" s="180" t="s">
        <v>363</v>
      </c>
      <c r="E17" s="233">
        <v>1508</v>
      </c>
      <c r="F17" s="276" t="s">
        <v>687</v>
      </c>
      <c r="G17" s="274"/>
      <c r="H17" s="274"/>
    </row>
    <row r="18" spans="1:8" s="275" customFormat="1" ht="15.75" hidden="1" outlineLevel="2" x14ac:dyDescent="0.2">
      <c r="A18" s="191"/>
      <c r="B18" s="132"/>
      <c r="C18" s="132" t="s">
        <v>689</v>
      </c>
      <c r="D18" s="180"/>
      <c r="E18" s="233"/>
      <c r="F18" s="274"/>
      <c r="G18" s="274"/>
      <c r="H18" s="274"/>
    </row>
    <row r="19" spans="1:8" s="275" customFormat="1" ht="15.75" hidden="1" outlineLevel="2" x14ac:dyDescent="0.2">
      <c r="A19" s="191" t="s">
        <v>1025</v>
      </c>
      <c r="B19" s="132" t="s">
        <v>690</v>
      </c>
      <c r="C19" s="132" t="s">
        <v>696</v>
      </c>
      <c r="D19" s="180" t="s">
        <v>271</v>
      </c>
      <c r="E19" s="233">
        <v>600</v>
      </c>
      <c r="F19" s="274"/>
      <c r="G19" s="274"/>
      <c r="H19" s="274"/>
    </row>
    <row r="20" spans="1:8" s="275" customFormat="1" ht="15.75" hidden="1" outlineLevel="2" x14ac:dyDescent="0.2">
      <c r="A20" s="191"/>
      <c r="B20" s="132"/>
      <c r="C20" s="132" t="s">
        <v>691</v>
      </c>
      <c r="D20" s="180"/>
      <c r="E20" s="233"/>
      <c r="F20" s="274"/>
      <c r="G20" s="274"/>
      <c r="H20" s="274"/>
    </row>
    <row r="21" spans="1:8" s="275" customFormat="1" ht="15.75" hidden="1" outlineLevel="2" x14ac:dyDescent="0.2">
      <c r="A21" s="191" t="s">
        <v>1026</v>
      </c>
      <c r="B21" s="132" t="s">
        <v>692</v>
      </c>
      <c r="C21" s="132" t="s">
        <v>696</v>
      </c>
      <c r="D21" s="180" t="s">
        <v>271</v>
      </c>
      <c r="E21" s="233">
        <v>450</v>
      </c>
      <c r="F21" s="274"/>
      <c r="G21" s="274"/>
      <c r="H21" s="274"/>
    </row>
    <row r="22" spans="1:8" s="275" customFormat="1" ht="15.75" hidden="1" outlineLevel="2" x14ac:dyDescent="0.2">
      <c r="A22" s="191"/>
      <c r="B22" s="132"/>
      <c r="C22" s="132" t="s">
        <v>693</v>
      </c>
      <c r="D22" s="180"/>
      <c r="E22" s="233"/>
      <c r="F22" s="274"/>
      <c r="G22" s="274"/>
      <c r="H22" s="274"/>
    </row>
    <row r="23" spans="1:8" s="275" customFormat="1" ht="15.75" hidden="1" outlineLevel="2" x14ac:dyDescent="0.2">
      <c r="A23" s="191" t="s">
        <v>1027</v>
      </c>
      <c r="B23" s="132" t="s">
        <v>694</v>
      </c>
      <c r="C23" s="132" t="s">
        <v>696</v>
      </c>
      <c r="D23" s="180" t="s">
        <v>271</v>
      </c>
      <c r="E23" s="233">
        <v>450</v>
      </c>
      <c r="F23" s="274"/>
      <c r="G23" s="274"/>
      <c r="H23" s="274"/>
    </row>
    <row r="24" spans="1:8" s="275" customFormat="1" ht="15.75" hidden="1" outlineLevel="2" x14ac:dyDescent="0.2">
      <c r="A24" s="191"/>
      <c r="B24" s="132"/>
      <c r="C24" s="132" t="s">
        <v>695</v>
      </c>
      <c r="D24" s="180"/>
      <c r="E24" s="233"/>
      <c r="F24" s="274"/>
      <c r="G24" s="274"/>
      <c r="H24" s="274"/>
    </row>
    <row r="25" spans="1:8" s="275" customFormat="1" ht="15.75" hidden="1" outlineLevel="2" x14ac:dyDescent="0.2">
      <c r="A25" s="191" t="s">
        <v>1028</v>
      </c>
      <c r="B25" s="132" t="s">
        <v>697</v>
      </c>
      <c r="C25" s="132" t="s">
        <v>696</v>
      </c>
      <c r="D25" s="180" t="s">
        <v>271</v>
      </c>
      <c r="E25" s="233">
        <v>200</v>
      </c>
      <c r="F25" s="274"/>
      <c r="G25" s="274"/>
      <c r="H25" s="274"/>
    </row>
    <row r="26" spans="1:8" s="275" customFormat="1" ht="15.75" hidden="1" outlineLevel="2" x14ac:dyDescent="0.2">
      <c r="A26" s="191"/>
      <c r="B26" s="132"/>
      <c r="C26" s="132" t="s">
        <v>698</v>
      </c>
      <c r="D26" s="180"/>
      <c r="E26" s="233"/>
      <c r="F26" s="274"/>
      <c r="G26" s="274"/>
      <c r="H26" s="274"/>
    </row>
    <row r="27" spans="1:8" s="275" customFormat="1" ht="15.75" hidden="1" outlineLevel="2" x14ac:dyDescent="0.2">
      <c r="A27" s="191" t="s">
        <v>1029</v>
      </c>
      <c r="B27" s="132" t="s">
        <v>699</v>
      </c>
      <c r="C27" s="132" t="s">
        <v>696</v>
      </c>
      <c r="D27" s="180" t="s">
        <v>271</v>
      </c>
      <c r="E27" s="233">
        <v>200</v>
      </c>
      <c r="F27" s="274"/>
      <c r="G27" s="274"/>
      <c r="H27" s="274"/>
    </row>
    <row r="28" spans="1:8" s="275" customFormat="1" ht="15.75" hidden="1" outlineLevel="2" x14ac:dyDescent="0.2">
      <c r="A28" s="191"/>
      <c r="B28" s="132"/>
      <c r="C28" s="132" t="s">
        <v>700</v>
      </c>
      <c r="D28" s="180"/>
      <c r="E28" s="233"/>
      <c r="F28" s="274"/>
      <c r="G28" s="274"/>
      <c r="H28" s="274"/>
    </row>
    <row r="29" spans="1:8" s="275" customFormat="1" ht="15.75" hidden="1" outlineLevel="2" x14ac:dyDescent="0.2">
      <c r="A29" s="191" t="s">
        <v>1030</v>
      </c>
      <c r="B29" s="132" t="s">
        <v>701</v>
      </c>
      <c r="C29" s="132" t="s">
        <v>696</v>
      </c>
      <c r="D29" s="180" t="s">
        <v>271</v>
      </c>
      <c r="E29" s="233">
        <v>245</v>
      </c>
      <c r="F29" s="274"/>
      <c r="G29" s="274"/>
      <c r="H29" s="274"/>
    </row>
    <row r="30" spans="1:8" s="275" customFormat="1" ht="15.75" hidden="1" outlineLevel="2" x14ac:dyDescent="0.2">
      <c r="A30" s="191"/>
      <c r="B30" s="132"/>
      <c r="C30" s="132" t="s">
        <v>702</v>
      </c>
      <c r="D30" s="180"/>
      <c r="E30" s="233"/>
      <c r="F30" s="274"/>
      <c r="G30" s="274"/>
      <c r="H30" s="274"/>
    </row>
    <row r="31" spans="1:8" s="275" customFormat="1" ht="15.75" hidden="1" outlineLevel="2" x14ac:dyDescent="0.2">
      <c r="A31" s="191" t="s">
        <v>1031</v>
      </c>
      <c r="B31" s="132" t="s">
        <v>703</v>
      </c>
      <c r="C31" s="132" t="s">
        <v>696</v>
      </c>
      <c r="D31" s="180" t="s">
        <v>271</v>
      </c>
      <c r="E31" s="233">
        <v>175</v>
      </c>
      <c r="F31" s="274"/>
      <c r="G31" s="274"/>
      <c r="H31" s="274"/>
    </row>
    <row r="32" spans="1:8" ht="31.5" outlineLevel="1" collapsed="1" x14ac:dyDescent="0.2">
      <c r="A32" s="256" t="s">
        <v>259</v>
      </c>
      <c r="B32" s="155"/>
      <c r="C32" s="161" t="s">
        <v>968</v>
      </c>
      <c r="D32" s="178" t="s">
        <v>250</v>
      </c>
      <c r="E32" s="158">
        <v>1</v>
      </c>
      <c r="F32" s="182"/>
      <c r="G32" s="182"/>
      <c r="H32" s="182"/>
    </row>
    <row r="33" spans="1:8" ht="15.75" hidden="1" outlineLevel="2" x14ac:dyDescent="0.2">
      <c r="A33" s="237"/>
      <c r="B33" s="238"/>
      <c r="C33" s="252" t="s">
        <v>279</v>
      </c>
      <c r="D33" s="239"/>
      <c r="E33" s="240"/>
      <c r="F33" s="182"/>
      <c r="G33" s="182"/>
      <c r="H33" s="182"/>
    </row>
    <row r="34" spans="1:8" ht="15.75" hidden="1" outlineLevel="2" x14ac:dyDescent="0.2">
      <c r="A34" s="237"/>
      <c r="B34" s="238"/>
      <c r="C34" s="241" t="s">
        <v>971</v>
      </c>
      <c r="D34" s="239"/>
      <c r="E34" s="240"/>
      <c r="F34" s="182"/>
      <c r="G34" s="182"/>
      <c r="H34" s="182"/>
    </row>
    <row r="35" spans="1:8" ht="25.5" hidden="1" outlineLevel="2" x14ac:dyDescent="0.2">
      <c r="A35" s="229" t="s">
        <v>260</v>
      </c>
      <c r="B35" s="230" t="s">
        <v>341</v>
      </c>
      <c r="C35" s="230" t="s">
        <v>265</v>
      </c>
      <c r="D35" s="231" t="s">
        <v>262</v>
      </c>
      <c r="E35" s="232">
        <v>2251</v>
      </c>
      <c r="F35" s="182"/>
      <c r="G35" s="182"/>
      <c r="H35" s="182"/>
    </row>
    <row r="36" spans="1:8" ht="15.75" hidden="1" outlineLevel="2" x14ac:dyDescent="0.2">
      <c r="A36" s="229" t="s">
        <v>276</v>
      </c>
      <c r="B36" s="230" t="s">
        <v>342</v>
      </c>
      <c r="C36" s="230" t="s">
        <v>340</v>
      </c>
      <c r="D36" s="231" t="s">
        <v>262</v>
      </c>
      <c r="E36" s="232">
        <v>2251</v>
      </c>
      <c r="F36" s="182"/>
      <c r="G36" s="182"/>
      <c r="H36" s="182"/>
    </row>
    <row r="37" spans="1:8" ht="15.75" hidden="1" outlineLevel="2" x14ac:dyDescent="0.2">
      <c r="A37" s="229" t="s">
        <v>315</v>
      </c>
      <c r="B37" s="230" t="s">
        <v>345</v>
      </c>
      <c r="C37" s="230" t="s">
        <v>343</v>
      </c>
      <c r="D37" s="231" t="s">
        <v>262</v>
      </c>
      <c r="E37" s="232">
        <v>2059</v>
      </c>
      <c r="F37" s="182" t="s">
        <v>344</v>
      </c>
      <c r="G37" s="182"/>
      <c r="H37" s="182"/>
    </row>
    <row r="38" spans="1:8" s="187" customFormat="1" ht="15.75" hidden="1" outlineLevel="2" x14ac:dyDescent="0.2">
      <c r="A38" s="229"/>
      <c r="B38" s="230"/>
      <c r="C38" s="241" t="s">
        <v>970</v>
      </c>
      <c r="D38" s="231"/>
      <c r="E38" s="232"/>
      <c r="F38" s="186"/>
      <c r="G38" s="186"/>
      <c r="H38" s="186"/>
    </row>
    <row r="39" spans="1:8" s="187" customFormat="1" ht="25.5" hidden="1" outlineLevel="2" x14ac:dyDescent="0.2">
      <c r="A39" s="229" t="s">
        <v>324</v>
      </c>
      <c r="B39" s="230" t="s">
        <v>422</v>
      </c>
      <c r="C39" s="230" t="s">
        <v>265</v>
      </c>
      <c r="D39" s="231" t="s">
        <v>262</v>
      </c>
      <c r="E39" s="242">
        <f>25.8</f>
        <v>25.8</v>
      </c>
      <c r="F39" s="186"/>
      <c r="G39" s="186"/>
      <c r="H39" s="186"/>
    </row>
    <row r="40" spans="1:8" s="187" customFormat="1" ht="15.75" hidden="1" outlineLevel="2" x14ac:dyDescent="0.2">
      <c r="A40" s="229" t="s">
        <v>1032</v>
      </c>
      <c r="B40" s="230" t="s">
        <v>421</v>
      </c>
      <c r="C40" s="230" t="s">
        <v>418</v>
      </c>
      <c r="D40" s="231" t="s">
        <v>262</v>
      </c>
      <c r="E40" s="242">
        <f>10.3</f>
        <v>10.3</v>
      </c>
      <c r="F40" s="186"/>
      <c r="G40" s="246"/>
      <c r="H40" s="186"/>
    </row>
    <row r="41" spans="1:8" s="187" customFormat="1" ht="25.5" hidden="1" outlineLevel="2" x14ac:dyDescent="0.2">
      <c r="A41" s="229" t="s">
        <v>1033</v>
      </c>
      <c r="B41" s="230" t="s">
        <v>420</v>
      </c>
      <c r="C41" s="230" t="s">
        <v>419</v>
      </c>
      <c r="D41" s="231" t="s">
        <v>262</v>
      </c>
      <c r="E41" s="242">
        <f>15.5</f>
        <v>15.5</v>
      </c>
      <c r="F41" s="186"/>
      <c r="G41" s="246"/>
      <c r="H41" s="186"/>
    </row>
    <row r="42" spans="1:8" s="187" customFormat="1" ht="15.75" hidden="1" outlineLevel="2" x14ac:dyDescent="0.2">
      <c r="A42" s="229" t="s">
        <v>1034</v>
      </c>
      <c r="B42" s="230" t="s">
        <v>423</v>
      </c>
      <c r="C42" s="230" t="s">
        <v>343</v>
      </c>
      <c r="D42" s="231" t="s">
        <v>262</v>
      </c>
      <c r="E42" s="242">
        <f>10.3</f>
        <v>10.3</v>
      </c>
      <c r="F42" s="186"/>
      <c r="G42" s="246"/>
      <c r="H42" s="186"/>
    </row>
    <row r="43" spans="1:8" s="187" customFormat="1" ht="15.75" hidden="1" outlineLevel="2" x14ac:dyDescent="0.2">
      <c r="A43" s="229" t="s">
        <v>1035</v>
      </c>
      <c r="B43" s="230" t="s">
        <v>426</v>
      </c>
      <c r="C43" s="230" t="s">
        <v>424</v>
      </c>
      <c r="D43" s="231" t="s">
        <v>305</v>
      </c>
      <c r="E43" s="232">
        <v>1</v>
      </c>
      <c r="F43" s="186" t="s">
        <v>425</v>
      </c>
      <c r="G43" s="186"/>
      <c r="H43" s="186"/>
    </row>
    <row r="44" spans="1:8" s="245" customFormat="1" ht="15.75" hidden="1" outlineLevel="2" x14ac:dyDescent="0.2">
      <c r="A44" s="229" t="s">
        <v>1036</v>
      </c>
      <c r="B44" s="230" t="s">
        <v>428</v>
      </c>
      <c r="C44" s="230" t="s">
        <v>427</v>
      </c>
      <c r="D44" s="231" t="s">
        <v>271</v>
      </c>
      <c r="E44" s="243">
        <f>32.909</f>
        <v>32.908999999999999</v>
      </c>
      <c r="F44" s="244"/>
      <c r="G44" s="244"/>
      <c r="H44" s="244"/>
    </row>
    <row r="45" spans="1:8" s="196" customFormat="1" ht="15.75" hidden="1" outlineLevel="2" x14ac:dyDescent="0.2">
      <c r="A45" s="229" t="s">
        <v>1037</v>
      </c>
      <c r="B45" s="238" t="s">
        <v>149</v>
      </c>
      <c r="C45" s="238" t="s">
        <v>973</v>
      </c>
      <c r="D45" s="239" t="s">
        <v>305</v>
      </c>
      <c r="E45" s="240">
        <v>1</v>
      </c>
      <c r="F45" s="195"/>
      <c r="G45" s="195"/>
      <c r="H45" s="195"/>
    </row>
    <row r="46" spans="1:8" ht="15.75" hidden="1" outlineLevel="2" x14ac:dyDescent="0.2">
      <c r="A46" s="229" t="s">
        <v>1038</v>
      </c>
      <c r="B46" s="230" t="s">
        <v>753</v>
      </c>
      <c r="C46" s="230" t="s">
        <v>969</v>
      </c>
      <c r="D46" s="231" t="s">
        <v>305</v>
      </c>
      <c r="E46" s="232">
        <v>1</v>
      </c>
      <c r="F46" s="182" t="s">
        <v>351</v>
      </c>
      <c r="G46" s="182"/>
      <c r="H46" s="182"/>
    </row>
    <row r="47" spans="1:8" ht="15.75" outlineLevel="1" collapsed="1" x14ac:dyDescent="0.2">
      <c r="A47" s="257" t="s">
        <v>277</v>
      </c>
      <c r="B47" s="230"/>
      <c r="C47" s="254" t="s">
        <v>972</v>
      </c>
      <c r="D47" s="178" t="s">
        <v>250</v>
      </c>
      <c r="E47" s="158">
        <v>1</v>
      </c>
      <c r="F47" s="182"/>
      <c r="G47" s="182"/>
      <c r="H47" s="182"/>
    </row>
    <row r="48" spans="1:8" ht="15.75" hidden="1" outlineLevel="2" x14ac:dyDescent="0.2">
      <c r="A48" s="229"/>
      <c r="B48" s="230"/>
      <c r="C48" s="252" t="s">
        <v>279</v>
      </c>
      <c r="D48" s="231"/>
      <c r="E48" s="232"/>
      <c r="F48" s="182"/>
      <c r="G48" s="182"/>
      <c r="H48" s="182"/>
    </row>
    <row r="49" spans="1:8" ht="15.75" hidden="1" outlineLevel="2" x14ac:dyDescent="0.2">
      <c r="A49" s="224"/>
      <c r="B49" s="225"/>
      <c r="C49" s="226" t="s">
        <v>976</v>
      </c>
      <c r="D49" s="227"/>
      <c r="E49" s="228"/>
      <c r="F49" s="182"/>
      <c r="G49" s="182"/>
      <c r="H49" s="182"/>
    </row>
    <row r="50" spans="1:8" ht="25.5" hidden="1" outlineLevel="2" x14ac:dyDescent="0.2">
      <c r="A50" s="220" t="s">
        <v>278</v>
      </c>
      <c r="B50" s="221" t="s">
        <v>341</v>
      </c>
      <c r="C50" s="221" t="s">
        <v>265</v>
      </c>
      <c r="D50" s="222" t="s">
        <v>262</v>
      </c>
      <c r="E50" s="223">
        <v>831</v>
      </c>
      <c r="F50" s="182"/>
      <c r="G50" s="182"/>
      <c r="H50" s="182"/>
    </row>
    <row r="51" spans="1:8" ht="15.75" hidden="1" outlineLevel="2" x14ac:dyDescent="0.2">
      <c r="A51" s="220" t="s">
        <v>280</v>
      </c>
      <c r="B51" s="221" t="s">
        <v>342</v>
      </c>
      <c r="C51" s="221" t="s">
        <v>340</v>
      </c>
      <c r="D51" s="222" t="s">
        <v>262</v>
      </c>
      <c r="E51" s="223">
        <v>831</v>
      </c>
      <c r="F51" s="182"/>
      <c r="G51" s="182"/>
      <c r="H51" s="182"/>
    </row>
    <row r="52" spans="1:8" ht="15.75" hidden="1" outlineLevel="2" x14ac:dyDescent="0.2">
      <c r="A52" s="220" t="s">
        <v>788</v>
      </c>
      <c r="B52" s="221" t="s">
        <v>345</v>
      </c>
      <c r="C52" s="221" t="s">
        <v>343</v>
      </c>
      <c r="D52" s="222" t="s">
        <v>262</v>
      </c>
      <c r="E52" s="223">
        <v>794</v>
      </c>
      <c r="F52" s="182" t="s">
        <v>344</v>
      </c>
      <c r="G52" s="182"/>
      <c r="H52" s="182"/>
    </row>
    <row r="53" spans="1:8" ht="15.75" hidden="1" outlineLevel="2" x14ac:dyDescent="0.2">
      <c r="A53" s="224"/>
      <c r="B53" s="225"/>
      <c r="C53" s="226" t="s">
        <v>977</v>
      </c>
      <c r="D53" s="227"/>
      <c r="E53" s="228"/>
      <c r="F53" s="182"/>
      <c r="G53" s="182"/>
      <c r="H53" s="182"/>
    </row>
    <row r="54" spans="1:8" ht="25.5" hidden="1" outlineLevel="2" x14ac:dyDescent="0.2">
      <c r="A54" s="220" t="s">
        <v>806</v>
      </c>
      <c r="B54" s="221" t="s">
        <v>341</v>
      </c>
      <c r="C54" s="221" t="s">
        <v>265</v>
      </c>
      <c r="D54" s="222" t="s">
        <v>262</v>
      </c>
      <c r="E54" s="223">
        <v>729</v>
      </c>
      <c r="F54" s="182"/>
      <c r="G54" s="182"/>
      <c r="H54" s="182"/>
    </row>
    <row r="55" spans="1:8" ht="15.75" hidden="1" outlineLevel="2" x14ac:dyDescent="0.2">
      <c r="A55" s="220" t="s">
        <v>808</v>
      </c>
      <c r="B55" s="221" t="s">
        <v>342</v>
      </c>
      <c r="C55" s="221" t="s">
        <v>340</v>
      </c>
      <c r="D55" s="222" t="s">
        <v>262</v>
      </c>
      <c r="E55" s="223">
        <v>729</v>
      </c>
      <c r="F55" s="182"/>
      <c r="G55" s="182"/>
      <c r="H55" s="182"/>
    </row>
    <row r="56" spans="1:8" ht="15.75" hidden="1" outlineLevel="2" x14ac:dyDescent="0.2">
      <c r="A56" s="220" t="s">
        <v>814</v>
      </c>
      <c r="B56" s="221" t="s">
        <v>345</v>
      </c>
      <c r="C56" s="221" t="s">
        <v>343</v>
      </c>
      <c r="D56" s="222" t="s">
        <v>262</v>
      </c>
      <c r="E56" s="223">
        <v>679</v>
      </c>
      <c r="F56" s="182" t="s">
        <v>344</v>
      </c>
      <c r="G56" s="182"/>
      <c r="H56" s="182"/>
    </row>
    <row r="57" spans="1:8" ht="15.75" hidden="1" outlineLevel="2" x14ac:dyDescent="0.2">
      <c r="A57" s="220" t="s">
        <v>818</v>
      </c>
      <c r="B57" s="132" t="s">
        <v>754</v>
      </c>
      <c r="C57" s="132" t="s">
        <v>974</v>
      </c>
      <c r="D57" s="180" t="s">
        <v>305</v>
      </c>
      <c r="E57" s="162">
        <v>1</v>
      </c>
      <c r="F57" s="182" t="s">
        <v>350</v>
      </c>
      <c r="G57" s="182"/>
      <c r="H57" s="182"/>
    </row>
    <row r="58" spans="1:8" ht="15.75" hidden="1" outlineLevel="2" x14ac:dyDescent="0.2">
      <c r="A58" s="220" t="s">
        <v>822</v>
      </c>
      <c r="B58" s="132" t="s">
        <v>755</v>
      </c>
      <c r="C58" s="132" t="s">
        <v>975</v>
      </c>
      <c r="D58" s="180" t="s">
        <v>305</v>
      </c>
      <c r="E58" s="162">
        <v>1</v>
      </c>
      <c r="F58" s="182" t="s">
        <v>349</v>
      </c>
      <c r="G58" s="182"/>
      <c r="H58" s="182"/>
    </row>
    <row r="59" spans="1:8" ht="25.5" outlineLevel="1" collapsed="1" x14ac:dyDescent="0.2">
      <c r="A59" s="258" t="s">
        <v>281</v>
      </c>
      <c r="B59" s="132"/>
      <c r="C59" s="253" t="s">
        <v>978</v>
      </c>
      <c r="D59" s="180" t="s">
        <v>250</v>
      </c>
      <c r="E59" s="162">
        <v>1</v>
      </c>
      <c r="F59" s="182"/>
      <c r="G59" s="182"/>
      <c r="H59" s="182"/>
    </row>
    <row r="60" spans="1:8" ht="15.75" hidden="1" outlineLevel="2" x14ac:dyDescent="0.2">
      <c r="A60" s="224"/>
      <c r="B60" s="225"/>
      <c r="C60" s="226" t="s">
        <v>982</v>
      </c>
      <c r="D60" s="227"/>
      <c r="E60" s="228"/>
      <c r="F60" s="182"/>
      <c r="G60" s="182"/>
      <c r="H60" s="182"/>
    </row>
    <row r="61" spans="1:8" ht="25.5" hidden="1" outlineLevel="2" x14ac:dyDescent="0.2">
      <c r="A61" s="220" t="s">
        <v>282</v>
      </c>
      <c r="B61" s="221" t="s">
        <v>341</v>
      </c>
      <c r="C61" s="221" t="s">
        <v>265</v>
      </c>
      <c r="D61" s="222" t="s">
        <v>262</v>
      </c>
      <c r="E61" s="223">
        <v>2432</v>
      </c>
      <c r="F61" s="182"/>
      <c r="G61" s="182"/>
      <c r="H61" s="182"/>
    </row>
    <row r="62" spans="1:8" ht="15.75" hidden="1" outlineLevel="2" x14ac:dyDescent="0.2">
      <c r="A62" s="220" t="s">
        <v>284</v>
      </c>
      <c r="B62" s="221" t="s">
        <v>342</v>
      </c>
      <c r="C62" s="221" t="s">
        <v>340</v>
      </c>
      <c r="D62" s="222" t="s">
        <v>262</v>
      </c>
      <c r="E62" s="223">
        <v>2432</v>
      </c>
      <c r="F62" s="182"/>
      <c r="G62" s="182"/>
      <c r="H62" s="182"/>
    </row>
    <row r="63" spans="1:8" ht="15.75" hidden="1" outlineLevel="2" x14ac:dyDescent="0.2">
      <c r="A63" s="220" t="s">
        <v>285</v>
      </c>
      <c r="B63" s="221" t="s">
        <v>345</v>
      </c>
      <c r="C63" s="221" t="s">
        <v>343</v>
      </c>
      <c r="D63" s="222" t="s">
        <v>262</v>
      </c>
      <c r="E63" s="223">
        <v>2333</v>
      </c>
      <c r="F63" s="182" t="s">
        <v>344</v>
      </c>
      <c r="G63" s="182"/>
      <c r="H63" s="182"/>
    </row>
    <row r="64" spans="1:8" ht="15.75" hidden="1" outlineLevel="2" x14ac:dyDescent="0.2">
      <c r="A64" s="220" t="s">
        <v>286</v>
      </c>
      <c r="B64" s="132" t="s">
        <v>756</v>
      </c>
      <c r="C64" s="132" t="s">
        <v>981</v>
      </c>
      <c r="D64" s="180" t="s">
        <v>305</v>
      </c>
      <c r="E64" s="162">
        <v>1</v>
      </c>
      <c r="F64" s="182"/>
      <c r="G64" s="182"/>
      <c r="H64" s="182"/>
    </row>
    <row r="65" spans="1:8" s="187" customFormat="1" ht="15.75" hidden="1" outlineLevel="2" x14ac:dyDescent="0.2">
      <c r="A65" s="220" t="s">
        <v>287</v>
      </c>
      <c r="B65" s="124" t="s">
        <v>496</v>
      </c>
      <c r="C65" s="124" t="s">
        <v>983</v>
      </c>
      <c r="D65" s="180" t="s">
        <v>283</v>
      </c>
      <c r="E65" s="162">
        <v>1</v>
      </c>
      <c r="F65" s="186" t="s">
        <v>497</v>
      </c>
      <c r="G65" s="186"/>
      <c r="H65" s="186"/>
    </row>
    <row r="66" spans="1:8" ht="15.75" hidden="1" outlineLevel="2" x14ac:dyDescent="0.2">
      <c r="A66" s="206"/>
      <c r="B66" s="124"/>
      <c r="C66" s="201" t="s">
        <v>498</v>
      </c>
      <c r="D66" s="181"/>
      <c r="E66" s="158"/>
      <c r="F66" s="182"/>
      <c r="G66" s="182"/>
      <c r="H66" s="182"/>
    </row>
    <row r="67" spans="1:8" s="187" customFormat="1" ht="25.5" hidden="1" outlineLevel="2" x14ac:dyDescent="0.2">
      <c r="A67" s="191" t="s">
        <v>288</v>
      </c>
      <c r="B67" s="124" t="s">
        <v>499</v>
      </c>
      <c r="C67" s="124" t="s">
        <v>265</v>
      </c>
      <c r="D67" s="179" t="s">
        <v>262</v>
      </c>
      <c r="E67" s="173">
        <f>139.5</f>
        <v>139.5</v>
      </c>
      <c r="F67" s="186"/>
      <c r="G67" s="186"/>
      <c r="H67" s="186"/>
    </row>
    <row r="68" spans="1:8" s="187" customFormat="1" ht="15.75" hidden="1" outlineLevel="2" x14ac:dyDescent="0.2">
      <c r="A68" s="191" t="s">
        <v>289</v>
      </c>
      <c r="B68" s="124" t="s">
        <v>502</v>
      </c>
      <c r="C68" s="124" t="s">
        <v>500</v>
      </c>
      <c r="D68" s="179" t="s">
        <v>262</v>
      </c>
      <c r="E68" s="173">
        <f>84.5</f>
        <v>84.5</v>
      </c>
      <c r="F68" s="186"/>
      <c r="G68" s="186"/>
      <c r="H68" s="186"/>
    </row>
    <row r="69" spans="1:8" s="187" customFormat="1" ht="25.5" hidden="1" outlineLevel="2" x14ac:dyDescent="0.2">
      <c r="A69" s="191" t="s">
        <v>290</v>
      </c>
      <c r="B69" s="124" t="s">
        <v>503</v>
      </c>
      <c r="C69" s="124" t="s">
        <v>501</v>
      </c>
      <c r="D69" s="179" t="s">
        <v>262</v>
      </c>
      <c r="E69" s="162">
        <v>55</v>
      </c>
      <c r="F69" s="186"/>
      <c r="G69" s="186"/>
      <c r="H69" s="186"/>
    </row>
    <row r="70" spans="1:8" s="187" customFormat="1" ht="15.75" hidden="1" outlineLevel="2" x14ac:dyDescent="0.2">
      <c r="A70" s="191" t="s">
        <v>291</v>
      </c>
      <c r="B70" s="124" t="s">
        <v>504</v>
      </c>
      <c r="C70" s="124" t="s">
        <v>343</v>
      </c>
      <c r="D70" s="179" t="s">
        <v>262</v>
      </c>
      <c r="E70" s="173">
        <f>84.5</f>
        <v>84.5</v>
      </c>
      <c r="F70" s="186"/>
      <c r="G70" s="186"/>
      <c r="H70" s="186"/>
    </row>
    <row r="71" spans="1:8" s="187" customFormat="1" ht="15.75" hidden="1" outlineLevel="2" x14ac:dyDescent="0.2">
      <c r="A71" s="191" t="s">
        <v>1039</v>
      </c>
      <c r="B71" s="124" t="s">
        <v>507</v>
      </c>
      <c r="C71" s="124" t="s">
        <v>980</v>
      </c>
      <c r="D71" s="179" t="s">
        <v>283</v>
      </c>
      <c r="E71" s="162">
        <v>1</v>
      </c>
      <c r="F71" s="186" t="s">
        <v>506</v>
      </c>
      <c r="G71" s="186"/>
      <c r="H71" s="186"/>
    </row>
    <row r="72" spans="1:8" s="187" customFormat="1" ht="15.75" hidden="1" outlineLevel="2" x14ac:dyDescent="0.2">
      <c r="A72" s="191" t="s">
        <v>1040</v>
      </c>
      <c r="B72" s="124" t="s">
        <v>509</v>
      </c>
      <c r="C72" s="124" t="s">
        <v>979</v>
      </c>
      <c r="D72" s="179" t="s">
        <v>271</v>
      </c>
      <c r="E72" s="173">
        <f>39.1</f>
        <v>39.1</v>
      </c>
      <c r="F72" s="186"/>
      <c r="G72" s="186"/>
      <c r="H72" s="186"/>
    </row>
    <row r="73" spans="1:8" s="187" customFormat="1" ht="15.75" outlineLevel="1" collapsed="1" x14ac:dyDescent="0.2">
      <c r="A73" s="258" t="s">
        <v>292</v>
      </c>
      <c r="B73" s="124"/>
      <c r="C73" s="255" t="s">
        <v>1013</v>
      </c>
      <c r="D73" s="178" t="s">
        <v>250</v>
      </c>
      <c r="E73" s="158">
        <v>1</v>
      </c>
      <c r="F73" s="186"/>
      <c r="G73" s="186"/>
      <c r="H73" s="186"/>
    </row>
    <row r="74" spans="1:8" s="187" customFormat="1" ht="15.75" hidden="1" outlineLevel="2" x14ac:dyDescent="0.2">
      <c r="A74" s="191"/>
      <c r="B74" s="132"/>
      <c r="C74" s="192" t="s">
        <v>316</v>
      </c>
      <c r="D74" s="180"/>
      <c r="E74" s="162"/>
      <c r="F74" s="186"/>
      <c r="G74" s="186"/>
      <c r="H74" s="186"/>
    </row>
    <row r="75" spans="1:8" s="187" customFormat="1" ht="15.75" hidden="1" outlineLevel="2" x14ac:dyDescent="0.2">
      <c r="A75" s="191" t="s">
        <v>897</v>
      </c>
      <c r="B75" s="132" t="s">
        <v>318</v>
      </c>
      <c r="C75" s="132" t="s">
        <v>317</v>
      </c>
      <c r="D75" s="180" t="s">
        <v>305</v>
      </c>
      <c r="E75" s="162">
        <v>1</v>
      </c>
      <c r="F75" s="186"/>
      <c r="G75" s="162">
        <v>11414</v>
      </c>
      <c r="H75" s="193">
        <f>E75*G75</f>
        <v>11414</v>
      </c>
    </row>
    <row r="76" spans="1:8" s="187" customFormat="1" ht="47.25" hidden="1" customHeight="1" outlineLevel="2" x14ac:dyDescent="0.2">
      <c r="A76" s="191" t="s">
        <v>905</v>
      </c>
      <c r="B76" s="132" t="s">
        <v>321</v>
      </c>
      <c r="C76" s="132" t="s">
        <v>322</v>
      </c>
      <c r="D76" s="180" t="s">
        <v>305</v>
      </c>
      <c r="E76" s="162">
        <v>1</v>
      </c>
      <c r="F76" s="189" t="s">
        <v>735</v>
      </c>
      <c r="G76" s="186">
        <v>7845</v>
      </c>
      <c r="H76" s="186">
        <f>E76*G76</f>
        <v>7845</v>
      </c>
    </row>
    <row r="77" spans="1:8" s="196" customFormat="1" ht="15.75" hidden="1" outlineLevel="2" x14ac:dyDescent="0.2">
      <c r="A77" s="208"/>
      <c r="B77" s="93"/>
      <c r="C77" s="261" t="s">
        <v>1007</v>
      </c>
      <c r="D77" s="178"/>
      <c r="E77" s="158"/>
      <c r="F77" s="195"/>
      <c r="G77" s="195"/>
      <c r="H77" s="195"/>
    </row>
    <row r="78" spans="1:8" s="187" customFormat="1" ht="15.75" hidden="1" outlineLevel="2" x14ac:dyDescent="0.2">
      <c r="A78" s="191" t="s">
        <v>1041</v>
      </c>
      <c r="B78" s="124" t="s">
        <v>480</v>
      </c>
      <c r="C78" s="124" t="s">
        <v>1014</v>
      </c>
      <c r="D78" s="180" t="s">
        <v>250</v>
      </c>
      <c r="E78" s="162">
        <v>1</v>
      </c>
      <c r="F78" s="186"/>
      <c r="G78" s="186"/>
      <c r="H78" s="186"/>
    </row>
    <row r="79" spans="1:8" s="187" customFormat="1" ht="15.75" hidden="1" outlineLevel="2" x14ac:dyDescent="0.2">
      <c r="A79" s="191" t="s">
        <v>1042</v>
      </c>
      <c r="B79" s="124" t="s">
        <v>482</v>
      </c>
      <c r="C79" s="124" t="s">
        <v>1015</v>
      </c>
      <c r="D79" s="180" t="s">
        <v>250</v>
      </c>
      <c r="E79" s="162">
        <v>1</v>
      </c>
      <c r="F79" s="186"/>
      <c r="G79" s="186"/>
      <c r="H79" s="186"/>
    </row>
    <row r="80" spans="1:8" s="187" customFormat="1" ht="15.75" hidden="1" outlineLevel="2" x14ac:dyDescent="0.2">
      <c r="A80" s="191" t="s">
        <v>1043</v>
      </c>
      <c r="B80" s="124" t="s">
        <v>484</v>
      </c>
      <c r="C80" s="124" t="s">
        <v>1016</v>
      </c>
      <c r="D80" s="180" t="s">
        <v>250</v>
      </c>
      <c r="E80" s="162">
        <v>1</v>
      </c>
      <c r="F80" s="186"/>
      <c r="G80" s="186"/>
      <c r="H80" s="186"/>
    </row>
    <row r="81" spans="1:8" s="196" customFormat="1" ht="15.75" hidden="1" outlineLevel="2" x14ac:dyDescent="0.2">
      <c r="A81" s="208"/>
      <c r="B81" s="93"/>
      <c r="C81" s="261" t="s">
        <v>1008</v>
      </c>
      <c r="D81" s="178"/>
      <c r="E81" s="158"/>
      <c r="F81" s="195"/>
      <c r="G81" s="195"/>
      <c r="H81" s="195"/>
    </row>
    <row r="82" spans="1:8" s="187" customFormat="1" ht="25.5" hidden="1" outlineLevel="2" x14ac:dyDescent="0.2">
      <c r="A82" s="191" t="s">
        <v>1044</v>
      </c>
      <c r="B82" s="124" t="s">
        <v>486</v>
      </c>
      <c r="C82" s="124" t="s">
        <v>1017</v>
      </c>
      <c r="D82" s="180" t="s">
        <v>250</v>
      </c>
      <c r="E82" s="162">
        <v>1</v>
      </c>
      <c r="F82" s="186"/>
      <c r="G82" s="186"/>
      <c r="H82" s="186"/>
    </row>
    <row r="83" spans="1:8" s="187" customFormat="1" ht="15.75" hidden="1" outlineLevel="2" x14ac:dyDescent="0.2">
      <c r="A83" s="191" t="s">
        <v>1045</v>
      </c>
      <c r="B83" s="124" t="s">
        <v>488</v>
      </c>
      <c r="C83" s="124" t="s">
        <v>1018</v>
      </c>
      <c r="D83" s="180" t="s">
        <v>250</v>
      </c>
      <c r="E83" s="162">
        <v>1</v>
      </c>
      <c r="F83" s="186"/>
      <c r="G83" s="186"/>
      <c r="H83" s="186"/>
    </row>
    <row r="84" spans="1:8" s="187" customFormat="1" ht="15.75" hidden="1" outlineLevel="2" x14ac:dyDescent="0.2">
      <c r="A84" s="191" t="s">
        <v>1046</v>
      </c>
      <c r="B84" s="124" t="s">
        <v>490</v>
      </c>
      <c r="C84" s="124" t="s">
        <v>1019</v>
      </c>
      <c r="D84" s="180" t="s">
        <v>250</v>
      </c>
      <c r="E84" s="162">
        <v>1</v>
      </c>
      <c r="F84" s="186"/>
      <c r="G84" s="186"/>
      <c r="H84" s="186"/>
    </row>
    <row r="85" spans="1:8" s="196" customFormat="1" ht="15.75" hidden="1" outlineLevel="2" x14ac:dyDescent="0.2">
      <c r="A85" s="208"/>
      <c r="B85" s="93"/>
      <c r="C85" s="261" t="s">
        <v>1009</v>
      </c>
      <c r="D85" s="178"/>
      <c r="E85" s="158"/>
      <c r="F85" s="195"/>
      <c r="G85" s="195"/>
      <c r="H85" s="195"/>
    </row>
    <row r="86" spans="1:8" s="187" customFormat="1" ht="15.75" hidden="1" outlineLevel="2" x14ac:dyDescent="0.2">
      <c r="A86" s="191" t="s">
        <v>1047</v>
      </c>
      <c r="B86" s="124" t="s">
        <v>492</v>
      </c>
      <c r="C86" s="124" t="s">
        <v>1010</v>
      </c>
      <c r="D86" s="180" t="s">
        <v>250</v>
      </c>
      <c r="E86" s="162">
        <v>1</v>
      </c>
      <c r="F86" s="186"/>
      <c r="G86" s="186"/>
      <c r="H86" s="186"/>
    </row>
    <row r="87" spans="1:8" s="187" customFormat="1" ht="15.75" hidden="1" outlineLevel="2" x14ac:dyDescent="0.2">
      <c r="A87" s="191" t="s">
        <v>1048</v>
      </c>
      <c r="B87" s="124" t="s">
        <v>494</v>
      </c>
      <c r="C87" s="124" t="s">
        <v>1011</v>
      </c>
      <c r="D87" s="180" t="s">
        <v>250</v>
      </c>
      <c r="E87" s="162">
        <v>1</v>
      </c>
      <c r="F87" s="186"/>
      <c r="G87" s="186"/>
      <c r="H87" s="186"/>
    </row>
    <row r="88" spans="1:8" s="273" customFormat="1" ht="25.5" hidden="1" outlineLevel="2" x14ac:dyDescent="0.2">
      <c r="A88" s="208"/>
      <c r="B88" s="100"/>
      <c r="C88" s="267" t="s">
        <v>1021</v>
      </c>
      <c r="D88" s="178"/>
      <c r="E88" s="277"/>
      <c r="F88" s="272"/>
      <c r="G88" s="272"/>
      <c r="H88" s="272"/>
    </row>
    <row r="89" spans="1:8" s="275" customFormat="1" ht="15.75" hidden="1" outlineLevel="2" x14ac:dyDescent="0.2">
      <c r="A89" s="191" t="s">
        <v>1049</v>
      </c>
      <c r="B89" s="132" t="s">
        <v>665</v>
      </c>
      <c r="C89" s="132" t="s">
        <v>664</v>
      </c>
      <c r="D89" s="180" t="s">
        <v>271</v>
      </c>
      <c r="E89" s="233">
        <v>1202</v>
      </c>
      <c r="F89" s="274"/>
      <c r="G89" s="274"/>
      <c r="H89" s="274"/>
    </row>
    <row r="90" spans="1:8" s="275" customFormat="1" ht="25.5" hidden="1" outlineLevel="2" x14ac:dyDescent="0.2">
      <c r="A90" s="191" t="s">
        <v>1050</v>
      </c>
      <c r="B90" s="132" t="s">
        <v>662</v>
      </c>
      <c r="C90" s="132" t="s">
        <v>661</v>
      </c>
      <c r="D90" s="180" t="s">
        <v>262</v>
      </c>
      <c r="E90" s="233">
        <f>2473</f>
        <v>2473</v>
      </c>
      <c r="F90" s="274"/>
      <c r="G90" s="274"/>
      <c r="H90" s="274"/>
    </row>
    <row r="91" spans="1:8" s="275" customFormat="1" ht="51" hidden="1" outlineLevel="2" x14ac:dyDescent="0.2">
      <c r="A91" s="191" t="s">
        <v>1051</v>
      </c>
      <c r="B91" s="132" t="s">
        <v>663</v>
      </c>
      <c r="C91" s="132" t="s">
        <v>666</v>
      </c>
      <c r="D91" s="180" t="s">
        <v>262</v>
      </c>
      <c r="E91" s="233">
        <v>2473</v>
      </c>
      <c r="F91" s="276" t="s">
        <v>925</v>
      </c>
      <c r="G91" s="274"/>
      <c r="H91" s="274"/>
    </row>
    <row r="92" spans="1:8" s="275" customFormat="1" ht="25.5" hidden="1" outlineLevel="2" x14ac:dyDescent="0.2">
      <c r="A92" s="191" t="s">
        <v>1052</v>
      </c>
      <c r="B92" s="132" t="s">
        <v>667</v>
      </c>
      <c r="C92" s="132" t="s">
        <v>668</v>
      </c>
      <c r="D92" s="180" t="s">
        <v>271</v>
      </c>
      <c r="E92" s="233">
        <v>300</v>
      </c>
      <c r="F92" s="274"/>
      <c r="G92" s="274"/>
      <c r="H92" s="274"/>
    </row>
    <row r="93" spans="1:8" ht="15.75" hidden="1" outlineLevel="2" x14ac:dyDescent="0.2">
      <c r="A93" s="208"/>
      <c r="B93" s="100"/>
      <c r="C93" s="267" t="s">
        <v>323</v>
      </c>
      <c r="D93" s="178"/>
      <c r="E93" s="158"/>
      <c r="F93" s="182"/>
      <c r="G93" s="182"/>
      <c r="H93" s="182"/>
    </row>
    <row r="94" spans="1:8" ht="15.75" hidden="1" outlineLevel="2" x14ac:dyDescent="0.2">
      <c r="A94" s="191" t="s">
        <v>1053</v>
      </c>
      <c r="B94" s="132" t="s">
        <v>327</v>
      </c>
      <c r="C94" s="132" t="s">
        <v>737</v>
      </c>
      <c r="D94" s="180" t="s">
        <v>305</v>
      </c>
      <c r="E94" s="233">
        <v>1</v>
      </c>
      <c r="F94" s="186"/>
      <c r="G94" s="194">
        <v>1104</v>
      </c>
      <c r="H94" s="186">
        <f t="shared" ref="H94:H101" si="0">E94*G94</f>
        <v>1104</v>
      </c>
    </row>
    <row r="95" spans="1:8" ht="15.75" hidden="1" outlineLevel="2" x14ac:dyDescent="0.2">
      <c r="A95" s="191" t="s">
        <v>1054</v>
      </c>
      <c r="B95" s="132" t="s">
        <v>327</v>
      </c>
      <c r="C95" s="132" t="s">
        <v>738</v>
      </c>
      <c r="D95" s="180" t="s">
        <v>305</v>
      </c>
      <c r="E95" s="162">
        <v>1</v>
      </c>
      <c r="F95" s="186"/>
      <c r="G95" s="194">
        <v>1999</v>
      </c>
      <c r="H95" s="186">
        <f t="shared" si="0"/>
        <v>1999</v>
      </c>
    </row>
    <row r="96" spans="1:8" ht="15.75" hidden="1" outlineLevel="2" x14ac:dyDescent="0.2">
      <c r="A96" s="191" t="s">
        <v>1055</v>
      </c>
      <c r="B96" s="132" t="s">
        <v>327</v>
      </c>
      <c r="C96" s="132" t="s">
        <v>739</v>
      </c>
      <c r="D96" s="180" t="s">
        <v>305</v>
      </c>
      <c r="E96" s="162">
        <v>1</v>
      </c>
      <c r="F96" s="186"/>
      <c r="G96" s="194">
        <v>2703</v>
      </c>
      <c r="H96" s="186">
        <f t="shared" si="0"/>
        <v>2703</v>
      </c>
    </row>
    <row r="97" spans="1:8" ht="15.75" hidden="1" outlineLevel="2" x14ac:dyDescent="0.2">
      <c r="A97" s="191" t="s">
        <v>1056</v>
      </c>
      <c r="B97" s="132" t="s">
        <v>327</v>
      </c>
      <c r="C97" s="132" t="s">
        <v>740</v>
      </c>
      <c r="D97" s="180" t="s">
        <v>305</v>
      </c>
      <c r="E97" s="162">
        <v>1</v>
      </c>
      <c r="F97" s="186"/>
      <c r="G97" s="194">
        <v>2442</v>
      </c>
      <c r="H97" s="186">
        <f t="shared" si="0"/>
        <v>2442</v>
      </c>
    </row>
    <row r="98" spans="1:8" ht="25.5" hidden="1" outlineLevel="2" x14ac:dyDescent="0.2">
      <c r="A98" s="191" t="s">
        <v>1057</v>
      </c>
      <c r="B98" s="132" t="s">
        <v>325</v>
      </c>
      <c r="C98" s="132" t="s">
        <v>328</v>
      </c>
      <c r="D98" s="180" t="s">
        <v>305</v>
      </c>
      <c r="E98" s="233">
        <v>8</v>
      </c>
      <c r="F98" s="189" t="s">
        <v>741</v>
      </c>
      <c r="G98" s="194">
        <v>1000</v>
      </c>
      <c r="H98" s="186">
        <f t="shared" si="0"/>
        <v>8000</v>
      </c>
    </row>
    <row r="99" spans="1:8" ht="15.75" hidden="1" outlineLevel="2" x14ac:dyDescent="0.2">
      <c r="A99" s="191" t="s">
        <v>1058</v>
      </c>
      <c r="B99" s="132" t="s">
        <v>325</v>
      </c>
      <c r="C99" s="132" t="s">
        <v>329</v>
      </c>
      <c r="D99" s="180" t="s">
        <v>305</v>
      </c>
      <c r="E99" s="233">
        <v>8</v>
      </c>
      <c r="F99" s="186"/>
      <c r="G99" s="194">
        <v>1300</v>
      </c>
      <c r="H99" s="186">
        <f t="shared" si="0"/>
        <v>10400</v>
      </c>
    </row>
    <row r="100" spans="1:8" ht="15.75" hidden="1" outlineLevel="2" x14ac:dyDescent="0.2">
      <c r="A100" s="191" t="s">
        <v>1059</v>
      </c>
      <c r="B100" s="132" t="s">
        <v>325</v>
      </c>
      <c r="C100" s="132" t="s">
        <v>330</v>
      </c>
      <c r="D100" s="180" t="s">
        <v>305</v>
      </c>
      <c r="E100" s="233">
        <v>4</v>
      </c>
      <c r="F100" s="186"/>
      <c r="G100" s="194">
        <v>5200</v>
      </c>
      <c r="H100" s="186">
        <f t="shared" si="0"/>
        <v>20800</v>
      </c>
    </row>
    <row r="101" spans="1:8" ht="15.75" hidden="1" outlineLevel="2" x14ac:dyDescent="0.2">
      <c r="A101" s="191" t="s">
        <v>1060</v>
      </c>
      <c r="B101" s="132" t="s">
        <v>325</v>
      </c>
      <c r="C101" s="132" t="s">
        <v>331</v>
      </c>
      <c r="D101" s="180" t="s">
        <v>305</v>
      </c>
      <c r="E101" s="233">
        <v>4</v>
      </c>
      <c r="F101" s="186"/>
      <c r="G101" s="194">
        <v>2400</v>
      </c>
      <c r="H101" s="186">
        <f t="shared" si="0"/>
        <v>9600</v>
      </c>
    </row>
    <row r="102" spans="1:8" s="187" customFormat="1" ht="15.75" outlineLevel="1" collapsed="1" x14ac:dyDescent="0.2">
      <c r="A102" s="258" t="s">
        <v>293</v>
      </c>
      <c r="B102" s="124"/>
      <c r="C102" s="255" t="s">
        <v>1012</v>
      </c>
      <c r="D102" s="178" t="s">
        <v>250</v>
      </c>
      <c r="E102" s="158">
        <v>1</v>
      </c>
      <c r="F102" s="186"/>
      <c r="G102" s="186"/>
      <c r="H102" s="186"/>
    </row>
    <row r="103" spans="1:8" s="187" customFormat="1" ht="15.75" hidden="1" outlineLevel="2" x14ac:dyDescent="0.2">
      <c r="A103" s="191" t="s">
        <v>908</v>
      </c>
      <c r="B103" s="132" t="s">
        <v>310</v>
      </c>
      <c r="C103" s="132" t="s">
        <v>309</v>
      </c>
      <c r="D103" s="180" t="s">
        <v>305</v>
      </c>
      <c r="E103" s="162">
        <v>1</v>
      </c>
      <c r="F103" s="186"/>
      <c r="G103" s="162">
        <f>15000</f>
        <v>15000</v>
      </c>
      <c r="H103" s="186">
        <f>E103*G103</f>
        <v>15000</v>
      </c>
    </row>
    <row r="104" spans="1:8" s="187" customFormat="1" ht="51" hidden="1" outlineLevel="2" x14ac:dyDescent="0.2">
      <c r="A104" s="191"/>
      <c r="B104" s="132"/>
      <c r="C104" s="132" t="s">
        <v>720</v>
      </c>
      <c r="D104" s="180"/>
      <c r="E104" s="162"/>
      <c r="F104" s="189" t="s">
        <v>721</v>
      </c>
      <c r="G104" s="162">
        <f>9671</f>
        <v>9671</v>
      </c>
      <c r="H104" s="186"/>
    </row>
    <row r="105" spans="1:8" s="187" customFormat="1" ht="25.5" hidden="1" customHeight="1" outlineLevel="2" x14ac:dyDescent="0.2">
      <c r="A105" s="191" t="s">
        <v>909</v>
      </c>
      <c r="B105" s="132" t="s">
        <v>311</v>
      </c>
      <c r="C105" s="132" t="s">
        <v>716</v>
      </c>
      <c r="D105" s="180" t="s">
        <v>305</v>
      </c>
      <c r="E105" s="162">
        <v>1</v>
      </c>
      <c r="F105" s="686" t="s">
        <v>723</v>
      </c>
      <c r="G105" s="162">
        <f>550</f>
        <v>550</v>
      </c>
      <c r="H105" s="186">
        <f>E105*G105</f>
        <v>550</v>
      </c>
    </row>
    <row r="106" spans="1:8" s="187" customFormat="1" ht="24" hidden="1" customHeight="1" outlineLevel="2" x14ac:dyDescent="0.2">
      <c r="A106" s="191" t="s">
        <v>910</v>
      </c>
      <c r="B106" s="132" t="s">
        <v>311</v>
      </c>
      <c r="C106" s="132" t="s">
        <v>717</v>
      </c>
      <c r="D106" s="180" t="s">
        <v>305</v>
      </c>
      <c r="E106" s="162">
        <v>1</v>
      </c>
      <c r="F106" s="687"/>
      <c r="G106" s="162">
        <f>566</f>
        <v>566</v>
      </c>
      <c r="H106" s="186">
        <f>E106*G106</f>
        <v>566</v>
      </c>
    </row>
    <row r="107" spans="1:8" s="187" customFormat="1" ht="63.75" hidden="1" outlineLevel="2" x14ac:dyDescent="0.2">
      <c r="A107" s="191" t="s">
        <v>911</v>
      </c>
      <c r="B107" s="132" t="s">
        <v>311</v>
      </c>
      <c r="C107" s="132" t="s">
        <v>719</v>
      </c>
      <c r="D107" s="180" t="s">
        <v>305</v>
      </c>
      <c r="E107" s="162">
        <v>1</v>
      </c>
      <c r="F107" s="189" t="s">
        <v>722</v>
      </c>
      <c r="G107" s="162">
        <f>7845</f>
        <v>7845</v>
      </c>
      <c r="H107" s="186">
        <f>E107*G107</f>
        <v>7845</v>
      </c>
    </row>
    <row r="108" spans="1:8" s="187" customFormat="1" ht="63.75" hidden="1" outlineLevel="2" x14ac:dyDescent="0.2">
      <c r="A108" s="191" t="s">
        <v>912</v>
      </c>
      <c r="B108" s="132" t="s">
        <v>311</v>
      </c>
      <c r="C108" s="132" t="s">
        <v>718</v>
      </c>
      <c r="D108" s="180" t="s">
        <v>305</v>
      </c>
      <c r="E108" s="162">
        <v>1</v>
      </c>
      <c r="F108" s="189" t="s">
        <v>724</v>
      </c>
      <c r="G108" s="162">
        <f>710</f>
        <v>710</v>
      </c>
      <c r="H108" s="186"/>
    </row>
    <row r="109" spans="1:8" s="187" customFormat="1" ht="15.75" hidden="1" outlineLevel="2" x14ac:dyDescent="0.2">
      <c r="A109" s="191"/>
      <c r="B109" s="132"/>
      <c r="C109" s="132" t="s">
        <v>731</v>
      </c>
      <c r="D109" s="180"/>
      <c r="E109" s="162"/>
      <c r="F109" s="186"/>
      <c r="G109" s="162">
        <f>3732</f>
        <v>3732</v>
      </c>
      <c r="H109" s="186"/>
    </row>
    <row r="110" spans="1:8" s="187" customFormat="1" ht="15.75" hidden="1" outlineLevel="2" x14ac:dyDescent="0.2">
      <c r="A110" s="191" t="s">
        <v>1061</v>
      </c>
      <c r="B110" s="132" t="s">
        <v>264</v>
      </c>
      <c r="C110" s="132" t="s">
        <v>725</v>
      </c>
      <c r="D110" s="180" t="s">
        <v>305</v>
      </c>
      <c r="E110" s="162">
        <v>2</v>
      </c>
      <c r="F110" s="186"/>
      <c r="G110" s="162">
        <f>555</f>
        <v>555</v>
      </c>
      <c r="H110" s="186">
        <f>E110*G110</f>
        <v>1110</v>
      </c>
    </row>
    <row r="111" spans="1:8" s="187" customFormat="1" ht="15.75" hidden="1" outlineLevel="2" x14ac:dyDescent="0.2">
      <c r="A111" s="191" t="s">
        <v>1062</v>
      </c>
      <c r="B111" s="132" t="s">
        <v>264</v>
      </c>
      <c r="C111" s="132" t="s">
        <v>729</v>
      </c>
      <c r="D111" s="180" t="s">
        <v>305</v>
      </c>
      <c r="E111" s="162">
        <v>1</v>
      </c>
      <c r="F111" s="186"/>
      <c r="G111" s="186">
        <v>600</v>
      </c>
      <c r="H111" s="193">
        <f>E111*G111</f>
        <v>600</v>
      </c>
    </row>
    <row r="112" spans="1:8" s="187" customFormat="1" ht="15.75" hidden="1" outlineLevel="2" x14ac:dyDescent="0.2">
      <c r="A112" s="191" t="s">
        <v>1063</v>
      </c>
      <c r="B112" s="132" t="s">
        <v>264</v>
      </c>
      <c r="C112" s="132" t="s">
        <v>730</v>
      </c>
      <c r="D112" s="180" t="s">
        <v>305</v>
      </c>
      <c r="E112" s="162">
        <v>1</v>
      </c>
      <c r="F112" s="186"/>
      <c r="G112" s="186">
        <v>2022</v>
      </c>
      <c r="H112" s="193">
        <f>E112*G112</f>
        <v>2022</v>
      </c>
    </row>
    <row r="113" spans="1:8" s="196" customFormat="1" ht="15.75" hidden="1" outlineLevel="2" x14ac:dyDescent="0.2">
      <c r="A113" s="208"/>
      <c r="B113" s="93"/>
      <c r="C113" s="261" t="s">
        <v>1007</v>
      </c>
      <c r="D113" s="181"/>
      <c r="E113" s="158"/>
      <c r="F113" s="202"/>
      <c r="G113" s="195"/>
      <c r="H113" s="195"/>
    </row>
    <row r="114" spans="1:8" s="187" customFormat="1" ht="15.75" hidden="1" outlineLevel="2" x14ac:dyDescent="0.2">
      <c r="A114" s="191" t="s">
        <v>1064</v>
      </c>
      <c r="B114" s="124" t="s">
        <v>604</v>
      </c>
      <c r="C114" s="124" t="s">
        <v>602</v>
      </c>
      <c r="D114" s="180" t="s">
        <v>250</v>
      </c>
      <c r="E114" s="162">
        <v>1</v>
      </c>
      <c r="F114" s="186"/>
      <c r="G114" s="186"/>
      <c r="H114" s="186"/>
    </row>
    <row r="115" spans="1:8" s="187" customFormat="1" ht="15.75" hidden="1" outlineLevel="2" x14ac:dyDescent="0.2">
      <c r="A115" s="191" t="s">
        <v>1065</v>
      </c>
      <c r="B115" s="124" t="s">
        <v>605</v>
      </c>
      <c r="C115" s="124" t="s">
        <v>603</v>
      </c>
      <c r="D115" s="180" t="s">
        <v>250</v>
      </c>
      <c r="E115" s="162">
        <v>1</v>
      </c>
      <c r="F115" s="186"/>
      <c r="G115" s="186"/>
      <c r="H115" s="186"/>
    </row>
    <row r="116" spans="1:8" s="187" customFormat="1" ht="25.5" hidden="1" outlineLevel="2" x14ac:dyDescent="0.2">
      <c r="A116" s="191" t="s">
        <v>1066</v>
      </c>
      <c r="B116" s="124" t="s">
        <v>607</v>
      </c>
      <c r="C116" s="124" t="s">
        <v>606</v>
      </c>
      <c r="D116" s="179" t="s">
        <v>250</v>
      </c>
      <c r="E116" s="162">
        <v>1</v>
      </c>
      <c r="F116" s="186"/>
      <c r="G116" s="186"/>
      <c r="H116" s="186"/>
    </row>
    <row r="117" spans="1:8" s="187" customFormat="1" ht="15.75" hidden="1" outlineLevel="2" x14ac:dyDescent="0.2">
      <c r="A117" s="191"/>
      <c r="B117" s="124"/>
      <c r="C117" s="201" t="s">
        <v>609</v>
      </c>
      <c r="D117" s="179"/>
      <c r="E117" s="162"/>
      <c r="F117" s="186"/>
      <c r="G117" s="186"/>
      <c r="H117" s="186"/>
    </row>
    <row r="118" spans="1:8" s="187" customFormat="1" ht="15.75" hidden="1" outlineLevel="2" x14ac:dyDescent="0.2">
      <c r="A118" s="191" t="s">
        <v>1067</v>
      </c>
      <c r="B118" s="124" t="s">
        <v>614</v>
      </c>
      <c r="C118" s="124" t="s">
        <v>610</v>
      </c>
      <c r="D118" s="179" t="s">
        <v>283</v>
      </c>
      <c r="E118" s="162">
        <v>2</v>
      </c>
      <c r="F118" s="186"/>
      <c r="G118" s="186"/>
      <c r="H118" s="186"/>
    </row>
    <row r="119" spans="1:8" s="187" customFormat="1" ht="15.75" hidden="1" outlineLevel="2" x14ac:dyDescent="0.2">
      <c r="A119" s="191" t="s">
        <v>1068</v>
      </c>
      <c r="B119" s="124" t="s">
        <v>615</v>
      </c>
      <c r="C119" s="124" t="s">
        <v>611</v>
      </c>
      <c r="D119" s="179" t="s">
        <v>283</v>
      </c>
      <c r="E119" s="162">
        <v>3</v>
      </c>
      <c r="F119" s="186"/>
      <c r="G119" s="186"/>
      <c r="H119" s="186"/>
    </row>
    <row r="120" spans="1:8" s="187" customFormat="1" ht="38.25" hidden="1" outlineLevel="2" x14ac:dyDescent="0.2">
      <c r="A120" s="191" t="s">
        <v>1069</v>
      </c>
      <c r="B120" s="124" t="s">
        <v>616</v>
      </c>
      <c r="C120" s="124" t="s">
        <v>612</v>
      </c>
      <c r="D120" s="179" t="s">
        <v>283</v>
      </c>
      <c r="E120" s="162">
        <v>2</v>
      </c>
      <c r="F120" s="189" t="s">
        <v>613</v>
      </c>
      <c r="G120" s="186"/>
      <c r="H120" s="186"/>
    </row>
    <row r="121" spans="1:8" ht="15.75" hidden="1" outlineLevel="2" x14ac:dyDescent="0.2">
      <c r="A121" s="206"/>
      <c r="B121" s="93"/>
      <c r="C121" s="261" t="s">
        <v>1008</v>
      </c>
      <c r="D121" s="178"/>
      <c r="E121" s="158"/>
      <c r="F121" s="183"/>
      <c r="G121" s="182"/>
      <c r="H121" s="182"/>
    </row>
    <row r="122" spans="1:8" s="187" customFormat="1" ht="25.5" hidden="1" outlineLevel="2" x14ac:dyDescent="0.2">
      <c r="A122" s="191" t="s">
        <v>1070</v>
      </c>
      <c r="B122" s="124" t="s">
        <v>618</v>
      </c>
      <c r="C122" s="124" t="s">
        <v>617</v>
      </c>
      <c r="D122" s="180" t="s">
        <v>250</v>
      </c>
      <c r="E122" s="162">
        <v>1</v>
      </c>
      <c r="F122" s="186"/>
      <c r="G122" s="186"/>
      <c r="H122" s="186"/>
    </row>
    <row r="123" spans="1:8" s="187" customFormat="1" ht="15.75" hidden="1" outlineLevel="2" x14ac:dyDescent="0.2">
      <c r="A123" s="191" t="s">
        <v>1071</v>
      </c>
      <c r="B123" s="124" t="s">
        <v>621</v>
      </c>
      <c r="C123" s="124" t="s">
        <v>620</v>
      </c>
      <c r="D123" s="180" t="s">
        <v>250</v>
      </c>
      <c r="E123" s="162">
        <v>1</v>
      </c>
      <c r="F123" s="186"/>
      <c r="G123" s="186"/>
      <c r="H123" s="186"/>
    </row>
    <row r="124" spans="1:8" s="196" customFormat="1" ht="15.75" hidden="1" outlineLevel="2" x14ac:dyDescent="0.2">
      <c r="A124" s="208"/>
      <c r="B124" s="93"/>
      <c r="C124" s="261" t="s">
        <v>1009</v>
      </c>
      <c r="D124" s="178"/>
      <c r="E124" s="158"/>
      <c r="F124" s="202"/>
      <c r="G124" s="195"/>
      <c r="H124" s="195"/>
    </row>
    <row r="125" spans="1:8" ht="15.75" hidden="1" outlineLevel="2" x14ac:dyDescent="0.2">
      <c r="A125" s="191" t="s">
        <v>1072</v>
      </c>
      <c r="B125" s="124" t="s">
        <v>624</v>
      </c>
      <c r="C125" s="124" t="s">
        <v>1010</v>
      </c>
      <c r="D125" s="180" t="s">
        <v>250</v>
      </c>
      <c r="E125" s="162">
        <v>1</v>
      </c>
      <c r="F125" s="182"/>
      <c r="G125" s="182"/>
      <c r="H125" s="182"/>
    </row>
    <row r="126" spans="1:8" ht="15.75" hidden="1" outlineLevel="2" x14ac:dyDescent="0.2">
      <c r="A126" s="191" t="s">
        <v>1073</v>
      </c>
      <c r="B126" s="124" t="s">
        <v>626</v>
      </c>
      <c r="C126" s="124" t="s">
        <v>1011</v>
      </c>
      <c r="D126" s="180" t="s">
        <v>250</v>
      </c>
      <c r="E126" s="162">
        <v>1</v>
      </c>
      <c r="F126" s="182"/>
      <c r="G126" s="182"/>
      <c r="H126" s="182"/>
    </row>
    <row r="127" spans="1:8" s="273" customFormat="1" ht="25.5" hidden="1" outlineLevel="2" x14ac:dyDescent="0.2">
      <c r="A127" s="208"/>
      <c r="B127" s="100"/>
      <c r="C127" s="267" t="s">
        <v>1020</v>
      </c>
      <c r="D127" s="178"/>
      <c r="E127" s="277"/>
      <c r="F127" s="272"/>
      <c r="G127" s="272"/>
      <c r="H127" s="272"/>
    </row>
    <row r="128" spans="1:8" s="275" customFormat="1" ht="15.75" hidden="1" outlineLevel="2" x14ac:dyDescent="0.2">
      <c r="A128" s="191" t="s">
        <v>1074</v>
      </c>
      <c r="B128" s="132" t="s">
        <v>670</v>
      </c>
      <c r="C128" s="132" t="s">
        <v>664</v>
      </c>
      <c r="D128" s="180" t="s">
        <v>271</v>
      </c>
      <c r="E128" s="233">
        <v>991</v>
      </c>
      <c r="F128" s="274"/>
      <c r="G128" s="274"/>
      <c r="H128" s="274"/>
    </row>
    <row r="129" spans="1:8" s="275" customFormat="1" ht="38.25" hidden="1" outlineLevel="2" x14ac:dyDescent="0.2">
      <c r="A129" s="191" t="s">
        <v>1075</v>
      </c>
      <c r="B129" s="132" t="s">
        <v>672</v>
      </c>
      <c r="C129" s="132" t="s">
        <v>671</v>
      </c>
      <c r="D129" s="180" t="s">
        <v>262</v>
      </c>
      <c r="E129" s="233">
        <v>1</v>
      </c>
      <c r="F129" s="274"/>
      <c r="G129" s="274"/>
      <c r="H129" s="274"/>
    </row>
    <row r="130" spans="1:8" s="275" customFormat="1" ht="25.5" hidden="1" outlineLevel="2" x14ac:dyDescent="0.2">
      <c r="A130" s="191" t="s">
        <v>1076</v>
      </c>
      <c r="B130" s="132" t="s">
        <v>674</v>
      </c>
      <c r="C130" s="132" t="s">
        <v>666</v>
      </c>
      <c r="D130" s="180" t="s">
        <v>262</v>
      </c>
      <c r="E130" s="233">
        <v>751</v>
      </c>
      <c r="F130" s="274" t="s">
        <v>673</v>
      </c>
      <c r="G130" s="274"/>
      <c r="H130" s="274"/>
    </row>
    <row r="131" spans="1:8" s="275" customFormat="1" ht="25.5" hidden="1" outlineLevel="2" x14ac:dyDescent="0.2">
      <c r="A131" s="191" t="s">
        <v>1077</v>
      </c>
      <c r="B131" s="132" t="s">
        <v>676</v>
      </c>
      <c r="C131" s="132" t="s">
        <v>675</v>
      </c>
      <c r="D131" s="180" t="s">
        <v>262</v>
      </c>
      <c r="E131" s="233">
        <v>751</v>
      </c>
      <c r="F131" s="274"/>
      <c r="G131" s="274"/>
      <c r="H131" s="274"/>
    </row>
    <row r="132" spans="1:8" s="275" customFormat="1" ht="25.5" hidden="1" outlineLevel="2" x14ac:dyDescent="0.2">
      <c r="A132" s="191" t="s">
        <v>1078</v>
      </c>
      <c r="B132" s="132" t="s">
        <v>678</v>
      </c>
      <c r="C132" s="132" t="s">
        <v>677</v>
      </c>
      <c r="D132" s="180" t="s">
        <v>262</v>
      </c>
      <c r="E132" s="233">
        <v>38</v>
      </c>
      <c r="F132" s="276" t="s">
        <v>679</v>
      </c>
      <c r="G132" s="274"/>
      <c r="H132" s="274"/>
    </row>
    <row r="133" spans="1:8" s="275" customFormat="1" ht="25.5" hidden="1" outlineLevel="2" x14ac:dyDescent="0.2">
      <c r="A133" s="191" t="s">
        <v>1079</v>
      </c>
      <c r="B133" s="132" t="s">
        <v>680</v>
      </c>
      <c r="C133" s="132" t="s">
        <v>668</v>
      </c>
      <c r="D133" s="180" t="s">
        <v>271</v>
      </c>
      <c r="E133" s="233">
        <v>408</v>
      </c>
      <c r="F133" s="276"/>
      <c r="G133" s="274"/>
      <c r="H133" s="274"/>
    </row>
    <row r="134" spans="1:8" s="187" customFormat="1" ht="25.5" outlineLevel="1" collapsed="1" x14ac:dyDescent="0.2">
      <c r="A134" s="258" t="s">
        <v>294</v>
      </c>
      <c r="B134" s="132" t="s">
        <v>303</v>
      </c>
      <c r="C134" s="255" t="s">
        <v>1080</v>
      </c>
      <c r="D134" s="179" t="s">
        <v>283</v>
      </c>
      <c r="E134" s="162">
        <v>1</v>
      </c>
      <c r="F134" s="186"/>
      <c r="G134" s="162">
        <v>2550</v>
      </c>
      <c r="H134" s="186"/>
    </row>
    <row r="135" spans="1:8" s="187" customFormat="1" ht="25.5" outlineLevel="1" x14ac:dyDescent="0.2">
      <c r="A135" s="258" t="s">
        <v>919</v>
      </c>
      <c r="B135" s="124"/>
      <c r="C135" s="255" t="s">
        <v>984</v>
      </c>
      <c r="D135" s="178" t="s">
        <v>250</v>
      </c>
      <c r="E135" s="158">
        <v>1</v>
      </c>
      <c r="F135" s="186"/>
      <c r="G135" s="186"/>
      <c r="H135" s="186"/>
    </row>
    <row r="136" spans="1:8" s="187" customFormat="1" ht="15.75" hidden="1" outlineLevel="2" x14ac:dyDescent="0.2">
      <c r="A136" s="258" t="s">
        <v>1081</v>
      </c>
      <c r="B136" s="124"/>
      <c r="C136" s="255" t="s">
        <v>990</v>
      </c>
      <c r="D136" s="179"/>
      <c r="E136" s="173"/>
      <c r="F136" s="186"/>
      <c r="G136" s="186"/>
      <c r="H136" s="186"/>
    </row>
    <row r="137" spans="1:8" s="187" customFormat="1" ht="15.75" hidden="1" outlineLevel="3" x14ac:dyDescent="0.2">
      <c r="A137" s="258"/>
      <c r="B137" s="124"/>
      <c r="C137" s="261" t="s">
        <v>429</v>
      </c>
      <c r="D137" s="179"/>
      <c r="E137" s="173"/>
      <c r="F137" s="186"/>
      <c r="G137" s="186"/>
      <c r="H137" s="186"/>
    </row>
    <row r="138" spans="1:8" s="187" customFormat="1" ht="15.75" hidden="1" outlineLevel="3" x14ac:dyDescent="0.2">
      <c r="A138" s="191" t="s">
        <v>1082</v>
      </c>
      <c r="B138" s="124" t="s">
        <v>997</v>
      </c>
      <c r="C138" s="93" t="s">
        <v>994</v>
      </c>
      <c r="D138" s="179" t="s">
        <v>262</v>
      </c>
      <c r="E138" s="174">
        <f>0.61</f>
        <v>0.61</v>
      </c>
      <c r="F138" s="186"/>
      <c r="G138" s="186"/>
      <c r="H138" s="186"/>
    </row>
    <row r="139" spans="1:8" s="187" customFormat="1" ht="15.75" hidden="1" outlineLevel="3" x14ac:dyDescent="0.2">
      <c r="A139" s="191" t="s">
        <v>1083</v>
      </c>
      <c r="B139" s="124" t="s">
        <v>998</v>
      </c>
      <c r="C139" s="93" t="s">
        <v>995</v>
      </c>
      <c r="D139" s="179" t="s">
        <v>996</v>
      </c>
      <c r="E139" s="262">
        <f>0.0966</f>
        <v>9.6600000000000005E-2</v>
      </c>
      <c r="F139" s="186"/>
      <c r="G139" s="186"/>
      <c r="H139" s="186"/>
    </row>
    <row r="140" spans="1:8" s="187" customFormat="1" ht="15.75" hidden="1" outlineLevel="3" x14ac:dyDescent="0.2">
      <c r="A140" s="191"/>
      <c r="B140" s="124"/>
      <c r="C140" s="261" t="s">
        <v>993</v>
      </c>
      <c r="D140" s="180"/>
      <c r="E140" s="162"/>
      <c r="F140" s="186"/>
      <c r="G140" s="186"/>
      <c r="H140" s="186"/>
    </row>
    <row r="141" spans="1:8" s="187" customFormat="1" ht="102" hidden="1" outlineLevel="3" x14ac:dyDescent="0.2">
      <c r="A141" s="191" t="s">
        <v>1084</v>
      </c>
      <c r="B141" s="124" t="s">
        <v>437</v>
      </c>
      <c r="C141" s="124" t="s">
        <v>432</v>
      </c>
      <c r="D141" s="180" t="s">
        <v>283</v>
      </c>
      <c r="E141" s="162">
        <v>1</v>
      </c>
      <c r="F141" s="189" t="s">
        <v>789</v>
      </c>
      <c r="G141" s="186"/>
      <c r="H141" s="186"/>
    </row>
    <row r="142" spans="1:8" s="187" customFormat="1" ht="25.5" hidden="1" outlineLevel="3" x14ac:dyDescent="0.2">
      <c r="A142" s="191" t="s">
        <v>1085</v>
      </c>
      <c r="B142" s="124" t="s">
        <v>436</v>
      </c>
      <c r="C142" s="124" t="s">
        <v>435</v>
      </c>
      <c r="D142" s="180" t="s">
        <v>271</v>
      </c>
      <c r="E142" s="162">
        <v>40</v>
      </c>
      <c r="F142" s="186"/>
      <c r="G142" s="186"/>
      <c r="H142" s="186"/>
    </row>
    <row r="143" spans="1:8" s="187" customFormat="1" ht="63.75" hidden="1" outlineLevel="3" x14ac:dyDescent="0.2">
      <c r="A143" s="191" t="s">
        <v>1086</v>
      </c>
      <c r="B143" s="124" t="s">
        <v>434</v>
      </c>
      <c r="C143" s="124" t="s">
        <v>433</v>
      </c>
      <c r="D143" s="180" t="s">
        <v>363</v>
      </c>
      <c r="E143" s="173">
        <f>49.8</f>
        <v>49.8</v>
      </c>
      <c r="F143" s="189" t="s">
        <v>790</v>
      </c>
      <c r="G143" s="186"/>
      <c r="H143" s="186"/>
    </row>
    <row r="144" spans="1:8" s="187" customFormat="1" ht="15.75" hidden="1" outlineLevel="3" x14ac:dyDescent="0.2">
      <c r="A144" s="191" t="s">
        <v>1087</v>
      </c>
      <c r="B144" s="124" t="s">
        <v>439</v>
      </c>
      <c r="C144" s="124" t="s">
        <v>438</v>
      </c>
      <c r="D144" s="180" t="s">
        <v>271</v>
      </c>
      <c r="E144" s="162">
        <v>33</v>
      </c>
      <c r="F144" s="186"/>
      <c r="G144" s="186"/>
      <c r="H144" s="186"/>
    </row>
    <row r="145" spans="1:8" s="187" customFormat="1" ht="15.75" hidden="1" outlineLevel="3" x14ac:dyDescent="0.2">
      <c r="A145" s="191" t="s">
        <v>1088</v>
      </c>
      <c r="B145" s="124" t="s">
        <v>441</v>
      </c>
      <c r="C145" s="124" t="s">
        <v>440</v>
      </c>
      <c r="D145" s="180" t="s">
        <v>271</v>
      </c>
      <c r="E145" s="162">
        <v>7</v>
      </c>
      <c r="F145" s="186"/>
      <c r="G145" s="186"/>
      <c r="H145" s="186"/>
    </row>
    <row r="146" spans="1:8" s="187" customFormat="1" ht="15.75" hidden="1" outlineLevel="3" x14ac:dyDescent="0.2">
      <c r="A146" s="191" t="s">
        <v>1089</v>
      </c>
      <c r="B146" s="124" t="s">
        <v>442</v>
      </c>
      <c r="C146" s="124" t="s">
        <v>443</v>
      </c>
      <c r="D146" s="180" t="s">
        <v>250</v>
      </c>
      <c r="E146" s="162">
        <v>1</v>
      </c>
      <c r="F146" s="186"/>
      <c r="G146" s="186"/>
      <c r="H146" s="186"/>
    </row>
    <row r="147" spans="1:8" s="187" customFormat="1" ht="51" hidden="1" outlineLevel="3" x14ac:dyDescent="0.2">
      <c r="A147" s="191" t="s">
        <v>1090</v>
      </c>
      <c r="B147" s="124" t="s">
        <v>446</v>
      </c>
      <c r="C147" s="124" t="s">
        <v>444</v>
      </c>
      <c r="D147" s="180" t="s">
        <v>363</v>
      </c>
      <c r="E147" s="173">
        <f>3.8</f>
        <v>3.8</v>
      </c>
      <c r="F147" s="189" t="s">
        <v>791</v>
      </c>
      <c r="G147" s="186"/>
      <c r="H147" s="186"/>
    </row>
    <row r="148" spans="1:8" s="187" customFormat="1" ht="15.75" hidden="1" outlineLevel="3" x14ac:dyDescent="0.2">
      <c r="A148" s="191" t="s">
        <v>1091</v>
      </c>
      <c r="B148" s="124" t="s">
        <v>447</v>
      </c>
      <c r="C148" s="124" t="s">
        <v>445</v>
      </c>
      <c r="D148" s="180" t="s">
        <v>305</v>
      </c>
      <c r="E148" s="162">
        <v>1</v>
      </c>
      <c r="F148" s="189"/>
      <c r="G148" s="186"/>
      <c r="H148" s="186"/>
    </row>
    <row r="149" spans="1:8" s="187" customFormat="1" ht="15.75" hidden="1" outlineLevel="3" x14ac:dyDescent="0.2">
      <c r="A149" s="191" t="s">
        <v>1092</v>
      </c>
      <c r="B149" s="124" t="s">
        <v>449</v>
      </c>
      <c r="C149" s="124" t="s">
        <v>448</v>
      </c>
      <c r="D149" s="180" t="s">
        <v>305</v>
      </c>
      <c r="E149" s="162">
        <v>2</v>
      </c>
      <c r="F149" s="189"/>
      <c r="G149" s="186"/>
      <c r="H149" s="186"/>
    </row>
    <row r="150" spans="1:8" s="187" customFormat="1" ht="15.75" hidden="1" outlineLevel="3" x14ac:dyDescent="0.2">
      <c r="A150" s="191" t="s">
        <v>1093</v>
      </c>
      <c r="B150" s="124" t="s">
        <v>451</v>
      </c>
      <c r="C150" s="124" t="s">
        <v>450</v>
      </c>
      <c r="D150" s="180" t="s">
        <v>363</v>
      </c>
      <c r="E150" s="173">
        <v>4.2</v>
      </c>
      <c r="F150" s="189"/>
      <c r="G150" s="186"/>
      <c r="H150" s="186"/>
    </row>
    <row r="151" spans="1:8" s="187" customFormat="1" ht="38.25" hidden="1" outlineLevel="3" x14ac:dyDescent="0.2">
      <c r="A151" s="191" t="s">
        <v>1094</v>
      </c>
      <c r="B151" s="124" t="s">
        <v>453</v>
      </c>
      <c r="C151" s="124" t="s">
        <v>452</v>
      </c>
      <c r="D151" s="180" t="s">
        <v>305</v>
      </c>
      <c r="E151" s="162">
        <v>1</v>
      </c>
      <c r="F151" s="189"/>
      <c r="G151" s="186"/>
      <c r="H151" s="186"/>
    </row>
    <row r="152" spans="1:8" s="187" customFormat="1" ht="25.5" hidden="1" outlineLevel="3" x14ac:dyDescent="0.2">
      <c r="A152" s="191" t="s">
        <v>1095</v>
      </c>
      <c r="B152" s="124" t="s">
        <v>454</v>
      </c>
      <c r="C152" s="124" t="s">
        <v>455</v>
      </c>
      <c r="D152" s="180" t="s">
        <v>271</v>
      </c>
      <c r="E152" s="162">
        <v>7</v>
      </c>
      <c r="F152" s="189"/>
      <c r="G152" s="186"/>
      <c r="H152" s="186"/>
    </row>
    <row r="153" spans="1:8" s="187" customFormat="1" ht="15.75" hidden="1" outlineLevel="3" x14ac:dyDescent="0.2">
      <c r="A153" s="191" t="s">
        <v>1096</v>
      </c>
      <c r="B153" s="124" t="s">
        <v>457</v>
      </c>
      <c r="C153" s="124" t="s">
        <v>456</v>
      </c>
      <c r="D153" s="180" t="s">
        <v>271</v>
      </c>
      <c r="E153" s="162">
        <v>30</v>
      </c>
      <c r="F153" s="189"/>
      <c r="G153" s="186"/>
      <c r="H153" s="186"/>
    </row>
    <row r="154" spans="1:8" s="187" customFormat="1" ht="15.75" hidden="1" outlineLevel="3" x14ac:dyDescent="0.2">
      <c r="A154" s="191" t="s">
        <v>1097</v>
      </c>
      <c r="B154" s="124" t="s">
        <v>459</v>
      </c>
      <c r="C154" s="124" t="s">
        <v>458</v>
      </c>
      <c r="D154" s="180" t="s">
        <v>271</v>
      </c>
      <c r="E154" s="162">
        <v>7</v>
      </c>
      <c r="F154" s="189"/>
      <c r="G154" s="186"/>
      <c r="H154" s="186"/>
    </row>
    <row r="155" spans="1:8" ht="15.75" hidden="1" outlineLevel="3" x14ac:dyDescent="0.2">
      <c r="A155" s="191" t="s">
        <v>1098</v>
      </c>
      <c r="B155" s="124" t="s">
        <v>462</v>
      </c>
      <c r="C155" s="124" t="s">
        <v>461</v>
      </c>
      <c r="D155" s="180" t="s">
        <v>305</v>
      </c>
      <c r="E155" s="162">
        <v>2</v>
      </c>
      <c r="F155" s="182"/>
      <c r="G155" s="182"/>
      <c r="H155" s="182"/>
    </row>
    <row r="156" spans="1:8" s="196" customFormat="1" ht="15.75" hidden="1" outlineLevel="3" x14ac:dyDescent="0.2">
      <c r="A156" s="208"/>
      <c r="B156" s="93"/>
      <c r="C156" s="261" t="s">
        <v>992</v>
      </c>
      <c r="D156" s="178"/>
      <c r="E156" s="158"/>
      <c r="F156" s="195"/>
      <c r="G156" s="195"/>
      <c r="H156" s="195"/>
    </row>
    <row r="157" spans="1:8" s="187" customFormat="1" ht="25.5" hidden="1" outlineLevel="3" x14ac:dyDescent="0.2">
      <c r="A157" s="191" t="s">
        <v>1099</v>
      </c>
      <c r="B157" s="124" t="s">
        <v>464</v>
      </c>
      <c r="C157" s="124" t="s">
        <v>463</v>
      </c>
      <c r="D157" s="180" t="s">
        <v>283</v>
      </c>
      <c r="E157" s="162">
        <v>1</v>
      </c>
      <c r="F157" s="186"/>
      <c r="G157" s="186"/>
      <c r="H157" s="186"/>
    </row>
    <row r="158" spans="1:8" s="187" customFormat="1" ht="25.5" hidden="1" outlineLevel="3" x14ac:dyDescent="0.2">
      <c r="A158" s="191" t="s">
        <v>1100</v>
      </c>
      <c r="B158" s="124" t="s">
        <v>466</v>
      </c>
      <c r="C158" s="124" t="s">
        <v>465</v>
      </c>
      <c r="D158" s="180" t="s">
        <v>283</v>
      </c>
      <c r="E158" s="162">
        <v>1</v>
      </c>
      <c r="F158" s="186"/>
      <c r="G158" s="186"/>
      <c r="H158" s="186"/>
    </row>
    <row r="159" spans="1:8" s="187" customFormat="1" ht="15.75" hidden="1" outlineLevel="3" x14ac:dyDescent="0.2">
      <c r="A159" s="191" t="s">
        <v>1101</v>
      </c>
      <c r="B159" s="124" t="s">
        <v>468</v>
      </c>
      <c r="C159" s="124" t="s">
        <v>467</v>
      </c>
      <c r="D159" s="180" t="s">
        <v>250</v>
      </c>
      <c r="E159" s="162">
        <v>1</v>
      </c>
      <c r="F159" s="186"/>
      <c r="G159" s="186"/>
      <c r="H159" s="186"/>
    </row>
    <row r="160" spans="1:8" s="187" customFormat="1" ht="15.75" hidden="1" outlineLevel="3" x14ac:dyDescent="0.2">
      <c r="A160" s="191" t="s">
        <v>1102</v>
      </c>
      <c r="B160" s="124" t="s">
        <v>470</v>
      </c>
      <c r="C160" s="124" t="s">
        <v>469</v>
      </c>
      <c r="D160" s="180" t="s">
        <v>250</v>
      </c>
      <c r="E160" s="162">
        <v>1</v>
      </c>
      <c r="F160" s="186"/>
      <c r="G160" s="186"/>
      <c r="H160" s="186"/>
    </row>
    <row r="161" spans="1:8" s="187" customFormat="1" ht="15.75" hidden="1" outlineLevel="3" x14ac:dyDescent="0.2">
      <c r="A161" s="191" t="s">
        <v>1103</v>
      </c>
      <c r="B161" s="124" t="s">
        <v>472</v>
      </c>
      <c r="C161" s="124" t="s">
        <v>471</v>
      </c>
      <c r="D161" s="180" t="s">
        <v>250</v>
      </c>
      <c r="E161" s="162">
        <v>1</v>
      </c>
      <c r="F161" s="186"/>
      <c r="G161" s="186"/>
      <c r="H161" s="186"/>
    </row>
    <row r="162" spans="1:8" s="196" customFormat="1" ht="15.75" hidden="1" outlineLevel="3" x14ac:dyDescent="0.2">
      <c r="A162" s="208"/>
      <c r="B162" s="93"/>
      <c r="C162" s="261" t="s">
        <v>999</v>
      </c>
      <c r="D162" s="178"/>
      <c r="E162" s="158"/>
      <c r="F162" s="195"/>
      <c r="G162" s="195"/>
      <c r="H162" s="195"/>
    </row>
    <row r="163" spans="1:8" s="187" customFormat="1" ht="51" hidden="1" outlineLevel="3" x14ac:dyDescent="0.2">
      <c r="A163" s="191" t="s">
        <v>1104</v>
      </c>
      <c r="B163" s="124" t="s">
        <v>474</v>
      </c>
      <c r="C163" s="124" t="s">
        <v>473</v>
      </c>
      <c r="D163" s="180" t="s">
        <v>283</v>
      </c>
      <c r="E163" s="162">
        <v>1</v>
      </c>
      <c r="F163" s="186"/>
      <c r="G163" s="186"/>
      <c r="H163" s="186"/>
    </row>
    <row r="164" spans="1:8" s="187" customFormat="1" ht="51" hidden="1" outlineLevel="3" x14ac:dyDescent="0.2">
      <c r="A164" s="191" t="s">
        <v>1105</v>
      </c>
      <c r="B164" s="124" t="s">
        <v>476</v>
      </c>
      <c r="C164" s="124" t="s">
        <v>475</v>
      </c>
      <c r="D164" s="180" t="s">
        <v>283</v>
      </c>
      <c r="E164" s="162">
        <v>1</v>
      </c>
      <c r="F164" s="186"/>
      <c r="G164" s="186"/>
      <c r="H164" s="186"/>
    </row>
    <row r="165" spans="1:8" s="187" customFormat="1" ht="63.75" hidden="1" outlineLevel="3" x14ac:dyDescent="0.2">
      <c r="A165" s="191" t="s">
        <v>1106</v>
      </c>
      <c r="B165" s="124" t="s">
        <v>478</v>
      </c>
      <c r="C165" s="124" t="s">
        <v>477</v>
      </c>
      <c r="D165" s="180" t="s">
        <v>283</v>
      </c>
      <c r="E165" s="162">
        <v>1</v>
      </c>
      <c r="F165" s="186"/>
      <c r="G165" s="186"/>
      <c r="H165" s="186"/>
    </row>
    <row r="166" spans="1:8" s="187" customFormat="1" ht="15.75" hidden="1" outlineLevel="2" x14ac:dyDescent="0.2">
      <c r="A166" s="258" t="s">
        <v>1107</v>
      </c>
      <c r="B166" s="124"/>
      <c r="C166" s="255" t="s">
        <v>991</v>
      </c>
      <c r="D166" s="179"/>
      <c r="E166" s="173"/>
      <c r="F166" s="186"/>
      <c r="G166" s="186"/>
      <c r="H166" s="186"/>
    </row>
    <row r="167" spans="1:8" s="196" customFormat="1" ht="15.75" hidden="1" outlineLevel="3" x14ac:dyDescent="0.2">
      <c r="A167" s="208"/>
      <c r="B167" s="93"/>
      <c r="C167" s="261" t="s">
        <v>1000</v>
      </c>
      <c r="D167" s="181"/>
      <c r="E167" s="158"/>
      <c r="F167" s="195"/>
      <c r="G167" s="195"/>
      <c r="H167" s="195"/>
    </row>
    <row r="168" spans="1:8" s="187" customFormat="1" ht="15.75" hidden="1" outlineLevel="3" x14ac:dyDescent="0.2">
      <c r="A168" s="191" t="s">
        <v>1108</v>
      </c>
      <c r="B168" s="124" t="s">
        <v>510</v>
      </c>
      <c r="C168" s="124" t="s">
        <v>1001</v>
      </c>
      <c r="D168" s="179" t="s">
        <v>262</v>
      </c>
      <c r="E168" s="174">
        <f>2.41</f>
        <v>2.41</v>
      </c>
      <c r="F168" s="186"/>
      <c r="G168" s="186"/>
      <c r="H168" s="186"/>
    </row>
    <row r="169" spans="1:8" s="187" customFormat="1" ht="25.5" hidden="1" outlineLevel="3" x14ac:dyDescent="0.2">
      <c r="A169" s="191" t="s">
        <v>1109</v>
      </c>
      <c r="B169" s="124" t="s">
        <v>513</v>
      </c>
      <c r="C169" s="124" t="s">
        <v>1002</v>
      </c>
      <c r="D169" s="179" t="s">
        <v>262</v>
      </c>
      <c r="E169" s="174">
        <f>9.91</f>
        <v>9.91</v>
      </c>
      <c r="F169" s="186"/>
      <c r="G169" s="186"/>
      <c r="H169" s="186"/>
    </row>
    <row r="170" spans="1:8" s="187" customFormat="1" ht="15.75" hidden="1" outlineLevel="3" x14ac:dyDescent="0.2">
      <c r="A170" s="191" t="s">
        <v>1110</v>
      </c>
      <c r="B170" s="124" t="s">
        <v>516</v>
      </c>
      <c r="C170" s="124" t="s">
        <v>515</v>
      </c>
      <c r="D170" s="179" t="s">
        <v>271</v>
      </c>
      <c r="E170" s="162">
        <v>82</v>
      </c>
      <c r="F170" s="186"/>
      <c r="G170" s="186"/>
      <c r="H170" s="186"/>
    </row>
    <row r="171" spans="1:8" s="187" customFormat="1" ht="15.75" hidden="1" outlineLevel="3" x14ac:dyDescent="0.2">
      <c r="A171" s="191" t="s">
        <v>1111</v>
      </c>
      <c r="B171" s="124" t="s">
        <v>518</v>
      </c>
      <c r="C171" s="124" t="s">
        <v>517</v>
      </c>
      <c r="D171" s="179" t="s">
        <v>250</v>
      </c>
      <c r="E171" s="162">
        <v>1</v>
      </c>
      <c r="F171" s="186" t="s">
        <v>519</v>
      </c>
      <c r="G171" s="186"/>
      <c r="H171" s="186"/>
    </row>
    <row r="172" spans="1:8" s="196" customFormat="1" ht="15.75" hidden="1" outlineLevel="3" x14ac:dyDescent="0.2">
      <c r="A172" s="208"/>
      <c r="B172" s="93"/>
      <c r="C172" s="261" t="s">
        <v>993</v>
      </c>
      <c r="D172" s="181"/>
      <c r="E172" s="158"/>
      <c r="F172" s="195"/>
      <c r="G172" s="195"/>
      <c r="H172" s="195"/>
    </row>
    <row r="173" spans="1:8" s="187" customFormat="1" ht="102" hidden="1" outlineLevel="3" x14ac:dyDescent="0.2">
      <c r="A173" s="191" t="s">
        <v>1112</v>
      </c>
      <c r="B173" s="124" t="s">
        <v>522</v>
      </c>
      <c r="C173" s="124" t="s">
        <v>520</v>
      </c>
      <c r="D173" s="179" t="s">
        <v>305</v>
      </c>
      <c r="E173" s="162">
        <v>1</v>
      </c>
      <c r="F173" s="189" t="s">
        <v>869</v>
      </c>
      <c r="G173" s="186"/>
      <c r="H173" s="186"/>
    </row>
    <row r="174" spans="1:8" s="187" customFormat="1" ht="102" hidden="1" outlineLevel="3" x14ac:dyDescent="0.2">
      <c r="A174" s="191" t="s">
        <v>1113</v>
      </c>
      <c r="B174" s="124" t="s">
        <v>524</v>
      </c>
      <c r="C174" s="124" t="s">
        <v>523</v>
      </c>
      <c r="D174" s="179" t="s">
        <v>283</v>
      </c>
      <c r="E174" s="162">
        <v>1</v>
      </c>
      <c r="F174" s="189" t="s">
        <v>870</v>
      </c>
      <c r="G174" s="186"/>
      <c r="H174" s="186"/>
    </row>
    <row r="175" spans="1:8" s="187" customFormat="1" ht="102" hidden="1" outlineLevel="3" x14ac:dyDescent="0.2">
      <c r="A175" s="191" t="s">
        <v>1114</v>
      </c>
      <c r="B175" s="124" t="s">
        <v>526</v>
      </c>
      <c r="C175" s="124" t="s">
        <v>525</v>
      </c>
      <c r="D175" s="179" t="s">
        <v>283</v>
      </c>
      <c r="E175" s="162">
        <v>1</v>
      </c>
      <c r="F175" s="189" t="s">
        <v>871</v>
      </c>
      <c r="G175" s="186"/>
      <c r="H175" s="186"/>
    </row>
    <row r="176" spans="1:8" s="187" customFormat="1" ht="25.5" hidden="1" outlineLevel="3" x14ac:dyDescent="0.2">
      <c r="A176" s="191" t="s">
        <v>1115</v>
      </c>
      <c r="B176" s="124" t="s">
        <v>527</v>
      </c>
      <c r="C176" s="124" t="s">
        <v>528</v>
      </c>
      <c r="D176" s="179" t="s">
        <v>271</v>
      </c>
      <c r="E176" s="162">
        <v>200</v>
      </c>
      <c r="F176" s="186"/>
      <c r="G176" s="186"/>
      <c r="H176" s="186"/>
    </row>
    <row r="177" spans="1:8" s="187" customFormat="1" ht="63.75" hidden="1" outlineLevel="3" x14ac:dyDescent="0.2">
      <c r="A177" s="191" t="s">
        <v>1116</v>
      </c>
      <c r="B177" s="124" t="s">
        <v>530</v>
      </c>
      <c r="C177" s="124" t="s">
        <v>529</v>
      </c>
      <c r="D177" s="179" t="s">
        <v>363</v>
      </c>
      <c r="E177" s="173">
        <f>49.8</f>
        <v>49.8</v>
      </c>
      <c r="F177" s="189" t="s">
        <v>790</v>
      </c>
      <c r="G177" s="186"/>
      <c r="H177" s="186"/>
    </row>
    <row r="178" spans="1:8" s="187" customFormat="1" ht="15.75" hidden="1" outlineLevel="3" x14ac:dyDescent="0.2">
      <c r="A178" s="191" t="s">
        <v>1117</v>
      </c>
      <c r="B178" s="124" t="s">
        <v>532</v>
      </c>
      <c r="C178" s="124" t="s">
        <v>531</v>
      </c>
      <c r="D178" s="179" t="s">
        <v>271</v>
      </c>
      <c r="E178" s="162">
        <v>75</v>
      </c>
      <c r="F178" s="186"/>
      <c r="G178" s="186"/>
      <c r="H178" s="186"/>
    </row>
    <row r="179" spans="1:8" s="187" customFormat="1" ht="25.5" hidden="1" outlineLevel="3" x14ac:dyDescent="0.2">
      <c r="A179" s="191" t="s">
        <v>1118</v>
      </c>
      <c r="B179" s="124" t="s">
        <v>533</v>
      </c>
      <c r="C179" s="124" t="s">
        <v>534</v>
      </c>
      <c r="D179" s="179" t="s">
        <v>271</v>
      </c>
      <c r="E179" s="173">
        <f>29.3</f>
        <v>29.3</v>
      </c>
      <c r="F179" s="189" t="s">
        <v>535</v>
      </c>
      <c r="G179" s="186"/>
      <c r="H179" s="186"/>
    </row>
    <row r="180" spans="1:8" s="187" customFormat="1" ht="25.5" hidden="1" outlineLevel="3" x14ac:dyDescent="0.2">
      <c r="A180" s="191" t="s">
        <v>1119</v>
      </c>
      <c r="B180" s="124" t="s">
        <v>537</v>
      </c>
      <c r="C180" s="124" t="s">
        <v>536</v>
      </c>
      <c r="D180" s="179" t="s">
        <v>271</v>
      </c>
      <c r="E180" s="162">
        <f>28</f>
        <v>28</v>
      </c>
      <c r="F180" s="189" t="s">
        <v>535</v>
      </c>
      <c r="G180" s="186"/>
      <c r="H180" s="186"/>
    </row>
    <row r="181" spans="1:8" s="187" customFormat="1" ht="15.75" hidden="1" outlineLevel="3" x14ac:dyDescent="0.2">
      <c r="A181" s="191" t="s">
        <v>1120</v>
      </c>
      <c r="B181" s="124" t="s">
        <v>539</v>
      </c>
      <c r="C181" s="124" t="s">
        <v>538</v>
      </c>
      <c r="D181" s="179" t="s">
        <v>250</v>
      </c>
      <c r="E181" s="162">
        <v>1</v>
      </c>
      <c r="F181" s="186"/>
      <c r="G181" s="186"/>
      <c r="H181" s="186"/>
    </row>
    <row r="182" spans="1:8" s="187" customFormat="1" ht="51" hidden="1" outlineLevel="3" x14ac:dyDescent="0.2">
      <c r="A182" s="191" t="s">
        <v>1121</v>
      </c>
      <c r="B182" s="124" t="s">
        <v>540</v>
      </c>
      <c r="C182" s="124" t="s">
        <v>444</v>
      </c>
      <c r="D182" s="179" t="s">
        <v>363</v>
      </c>
      <c r="E182" s="173">
        <f>15.4</f>
        <v>15.4</v>
      </c>
      <c r="F182" s="189" t="s">
        <v>872</v>
      </c>
      <c r="G182" s="186"/>
      <c r="H182" s="186"/>
    </row>
    <row r="183" spans="1:8" s="187" customFormat="1" ht="15.75" hidden="1" outlineLevel="3" x14ac:dyDescent="0.2">
      <c r="A183" s="191" t="s">
        <v>1122</v>
      </c>
      <c r="B183" s="124" t="s">
        <v>542</v>
      </c>
      <c r="C183" s="124" t="s">
        <v>541</v>
      </c>
      <c r="D183" s="179" t="s">
        <v>283</v>
      </c>
      <c r="E183" s="162">
        <v>1</v>
      </c>
      <c r="F183" s="186"/>
      <c r="G183" s="186"/>
      <c r="H183" s="186"/>
    </row>
    <row r="184" spans="1:8" s="187" customFormat="1" ht="15.75" hidden="1" outlineLevel="3" x14ac:dyDescent="0.2">
      <c r="A184" s="191" t="s">
        <v>1123</v>
      </c>
      <c r="B184" s="124" t="s">
        <v>544</v>
      </c>
      <c r="C184" s="124" t="s">
        <v>543</v>
      </c>
      <c r="D184" s="179" t="s">
        <v>283</v>
      </c>
      <c r="E184" s="162">
        <v>2</v>
      </c>
      <c r="F184" s="186"/>
      <c r="G184" s="186"/>
      <c r="H184" s="186"/>
    </row>
    <row r="185" spans="1:8" s="187" customFormat="1" ht="15.75" hidden="1" outlineLevel="3" x14ac:dyDescent="0.2">
      <c r="A185" s="191" t="s">
        <v>1124</v>
      </c>
      <c r="B185" s="124" t="s">
        <v>545</v>
      </c>
      <c r="C185" s="124" t="s">
        <v>450</v>
      </c>
      <c r="D185" s="179" t="s">
        <v>363</v>
      </c>
      <c r="E185" s="173">
        <f>3.9</f>
        <v>3.9</v>
      </c>
      <c r="F185" s="186"/>
      <c r="G185" s="186"/>
      <c r="H185" s="186"/>
    </row>
    <row r="186" spans="1:8" s="187" customFormat="1" ht="38.25" hidden="1" outlineLevel="3" x14ac:dyDescent="0.2">
      <c r="A186" s="191" t="s">
        <v>1125</v>
      </c>
      <c r="B186" s="124" t="s">
        <v>547</v>
      </c>
      <c r="C186" s="124" t="s">
        <v>546</v>
      </c>
      <c r="D186" s="179" t="s">
        <v>283</v>
      </c>
      <c r="E186" s="162">
        <v>2</v>
      </c>
      <c r="F186" s="186"/>
      <c r="G186" s="186"/>
      <c r="H186" s="186"/>
    </row>
    <row r="187" spans="1:8" s="187" customFormat="1" ht="15.75" hidden="1" outlineLevel="3" x14ac:dyDescent="0.2">
      <c r="A187" s="191" t="s">
        <v>1126</v>
      </c>
      <c r="B187" s="124" t="s">
        <v>548</v>
      </c>
      <c r="C187" s="124" t="s">
        <v>550</v>
      </c>
      <c r="D187" s="179" t="s">
        <v>283</v>
      </c>
      <c r="E187" s="162">
        <v>1</v>
      </c>
      <c r="F187" s="186"/>
      <c r="G187" s="186"/>
      <c r="H187" s="186"/>
    </row>
    <row r="188" spans="1:8" s="187" customFormat="1" ht="15.75" hidden="1" outlineLevel="3" x14ac:dyDescent="0.2">
      <c r="A188" s="191" t="s">
        <v>1127</v>
      </c>
      <c r="B188" s="124" t="s">
        <v>548</v>
      </c>
      <c r="C188" s="124" t="s">
        <v>549</v>
      </c>
      <c r="D188" s="179" t="s">
        <v>283</v>
      </c>
      <c r="E188" s="162">
        <v>1</v>
      </c>
      <c r="F188" s="186"/>
      <c r="G188" s="186"/>
      <c r="H188" s="186"/>
    </row>
    <row r="189" spans="1:8" s="187" customFormat="1" ht="25.5" hidden="1" outlineLevel="3" x14ac:dyDescent="0.2">
      <c r="A189" s="191" t="s">
        <v>1128</v>
      </c>
      <c r="B189" s="124" t="s">
        <v>552</v>
      </c>
      <c r="C189" s="124" t="s">
        <v>551</v>
      </c>
      <c r="D189" s="179" t="s">
        <v>283</v>
      </c>
      <c r="E189" s="162">
        <v>1</v>
      </c>
      <c r="F189" s="186"/>
      <c r="G189" s="186"/>
      <c r="H189" s="186"/>
    </row>
    <row r="190" spans="1:8" s="187" customFormat="1" ht="15.75" hidden="1" outlineLevel="3" x14ac:dyDescent="0.2">
      <c r="A190" s="191" t="s">
        <v>1129</v>
      </c>
      <c r="B190" s="124" t="s">
        <v>553</v>
      </c>
      <c r="C190" s="124" t="s">
        <v>554</v>
      </c>
      <c r="D190" s="179" t="s">
        <v>283</v>
      </c>
      <c r="E190" s="162">
        <v>1</v>
      </c>
      <c r="F190" s="186" t="s">
        <v>555</v>
      </c>
      <c r="G190" s="186"/>
      <c r="H190" s="186"/>
    </row>
    <row r="191" spans="1:8" s="187" customFormat="1" ht="38.25" hidden="1" outlineLevel="3" x14ac:dyDescent="0.2">
      <c r="A191" s="191" t="s">
        <v>1130</v>
      </c>
      <c r="B191" s="124" t="s">
        <v>560</v>
      </c>
      <c r="C191" s="124" t="s">
        <v>556</v>
      </c>
      <c r="D191" s="179" t="s">
        <v>271</v>
      </c>
      <c r="E191" s="174">
        <f>34.51</f>
        <v>34.51</v>
      </c>
      <c r="F191" s="186"/>
      <c r="G191" s="186"/>
      <c r="H191" s="186"/>
    </row>
    <row r="192" spans="1:8" s="187" customFormat="1" ht="25.5" hidden="1" outlineLevel="3" x14ac:dyDescent="0.2">
      <c r="A192" s="191" t="s">
        <v>1131</v>
      </c>
      <c r="B192" s="124" t="s">
        <v>561</v>
      </c>
      <c r="C192" s="124" t="s">
        <v>558</v>
      </c>
      <c r="D192" s="179" t="s">
        <v>271</v>
      </c>
      <c r="E192" s="174">
        <f>20.09</f>
        <v>20.09</v>
      </c>
      <c r="F192" s="186"/>
      <c r="G192" s="186"/>
      <c r="H192" s="186"/>
    </row>
    <row r="193" spans="1:8" s="187" customFormat="1" ht="25.5" hidden="1" outlineLevel="3" x14ac:dyDescent="0.2">
      <c r="A193" s="191" t="s">
        <v>1132</v>
      </c>
      <c r="B193" s="124" t="s">
        <v>562</v>
      </c>
      <c r="C193" s="124" t="s">
        <v>557</v>
      </c>
      <c r="D193" s="179" t="s">
        <v>271</v>
      </c>
      <c r="E193" s="174">
        <f>8.61</f>
        <v>8.61</v>
      </c>
      <c r="F193" s="186"/>
      <c r="G193" s="186"/>
      <c r="H193" s="186"/>
    </row>
    <row r="194" spans="1:8" s="187" customFormat="1" ht="38.25" hidden="1" outlineLevel="3" x14ac:dyDescent="0.2">
      <c r="A194" s="191" t="s">
        <v>1133</v>
      </c>
      <c r="B194" s="124" t="s">
        <v>563</v>
      </c>
      <c r="C194" s="124" t="s">
        <v>559</v>
      </c>
      <c r="D194" s="179" t="s">
        <v>271</v>
      </c>
      <c r="E194" s="174">
        <f>5.81</f>
        <v>5.81</v>
      </c>
      <c r="F194" s="186"/>
      <c r="G194" s="186"/>
      <c r="H194" s="186"/>
    </row>
    <row r="195" spans="1:8" s="187" customFormat="1" ht="15.75" hidden="1" outlineLevel="3" x14ac:dyDescent="0.2">
      <c r="A195" s="191"/>
      <c r="B195" s="124"/>
      <c r="C195" s="201" t="s">
        <v>564</v>
      </c>
      <c r="D195" s="179"/>
      <c r="E195" s="162"/>
      <c r="F195" s="186"/>
      <c r="G195" s="186"/>
      <c r="H195" s="186"/>
    </row>
    <row r="196" spans="1:8" s="187" customFormat="1" ht="15.75" hidden="1" outlineLevel="3" x14ac:dyDescent="0.2">
      <c r="A196" s="191" t="s">
        <v>1134</v>
      </c>
      <c r="B196" s="124" t="s">
        <v>566</v>
      </c>
      <c r="C196" s="124" t="s">
        <v>565</v>
      </c>
      <c r="D196" s="179" t="s">
        <v>271</v>
      </c>
      <c r="E196" s="174">
        <f>5.81</f>
        <v>5.81</v>
      </c>
      <c r="F196" s="186"/>
      <c r="G196" s="186"/>
      <c r="H196" s="186"/>
    </row>
    <row r="197" spans="1:8" s="187" customFormat="1" ht="15.75" hidden="1" outlineLevel="3" x14ac:dyDescent="0.2">
      <c r="A197" s="191"/>
      <c r="B197" s="124"/>
      <c r="C197" s="201" t="s">
        <v>568</v>
      </c>
      <c r="D197" s="179"/>
      <c r="E197" s="174"/>
      <c r="F197" s="186"/>
      <c r="G197" s="186"/>
      <c r="H197" s="186"/>
    </row>
    <row r="198" spans="1:8" s="187" customFormat="1" ht="15.75" hidden="1" outlineLevel="3" x14ac:dyDescent="0.2">
      <c r="A198" s="191" t="s">
        <v>1135</v>
      </c>
      <c r="B198" s="124" t="s">
        <v>570</v>
      </c>
      <c r="C198" s="124" t="s">
        <v>567</v>
      </c>
      <c r="D198" s="179" t="s">
        <v>283</v>
      </c>
      <c r="E198" s="162">
        <v>1</v>
      </c>
      <c r="F198" s="186"/>
      <c r="G198" s="186"/>
      <c r="H198" s="186"/>
    </row>
    <row r="199" spans="1:8" s="187" customFormat="1" ht="38.25" hidden="1" outlineLevel="3" x14ac:dyDescent="0.2">
      <c r="A199" s="191" t="s">
        <v>1136</v>
      </c>
      <c r="B199" s="124" t="s">
        <v>571</v>
      </c>
      <c r="C199" s="124" t="s">
        <v>569</v>
      </c>
      <c r="D199" s="179" t="s">
        <v>283</v>
      </c>
      <c r="E199" s="162">
        <v>1</v>
      </c>
      <c r="F199" s="186"/>
      <c r="G199" s="186"/>
      <c r="H199" s="186"/>
    </row>
    <row r="200" spans="1:8" s="187" customFormat="1" ht="38.25" hidden="1" outlineLevel="3" x14ac:dyDescent="0.2">
      <c r="A200" s="191" t="s">
        <v>1137</v>
      </c>
      <c r="B200" s="124" t="s">
        <v>573</v>
      </c>
      <c r="C200" s="124" t="s">
        <v>572</v>
      </c>
      <c r="D200" s="179" t="s">
        <v>271</v>
      </c>
      <c r="E200" s="174">
        <f>108.88</f>
        <v>108.88</v>
      </c>
      <c r="F200" s="189" t="s">
        <v>577</v>
      </c>
      <c r="G200" s="186"/>
      <c r="H200" s="186"/>
    </row>
    <row r="201" spans="1:8" s="187" customFormat="1" ht="15.75" hidden="1" outlineLevel="3" x14ac:dyDescent="0.2">
      <c r="A201" s="191" t="s">
        <v>1138</v>
      </c>
      <c r="B201" s="124" t="s">
        <v>575</v>
      </c>
      <c r="C201" s="124" t="s">
        <v>574</v>
      </c>
      <c r="D201" s="179" t="s">
        <v>271</v>
      </c>
      <c r="E201" s="162">
        <v>200</v>
      </c>
      <c r="F201" s="186"/>
      <c r="G201" s="186"/>
      <c r="H201" s="186"/>
    </row>
    <row r="202" spans="1:8" s="187" customFormat="1" ht="25.5" hidden="1" outlineLevel="3" x14ac:dyDescent="0.2">
      <c r="A202" s="191" t="s">
        <v>1139</v>
      </c>
      <c r="B202" s="124" t="s">
        <v>576</v>
      </c>
      <c r="C202" s="124" t="s">
        <v>578</v>
      </c>
      <c r="D202" s="179" t="s">
        <v>271</v>
      </c>
      <c r="E202" s="174">
        <f>34.51</f>
        <v>34.51</v>
      </c>
      <c r="F202" s="186"/>
      <c r="G202" s="186"/>
      <c r="H202" s="186"/>
    </row>
    <row r="203" spans="1:8" ht="15.75" hidden="1" outlineLevel="3" x14ac:dyDescent="0.2">
      <c r="A203" s="206"/>
      <c r="B203" s="124"/>
      <c r="C203" s="261" t="s">
        <v>1006</v>
      </c>
      <c r="D203" s="181"/>
      <c r="E203" s="158"/>
      <c r="F203" s="182"/>
      <c r="G203" s="182"/>
      <c r="H203" s="182"/>
    </row>
    <row r="204" spans="1:8" s="187" customFormat="1" ht="15.75" hidden="1" outlineLevel="3" x14ac:dyDescent="0.2">
      <c r="A204" s="191" t="s">
        <v>1140</v>
      </c>
      <c r="B204" s="124" t="s">
        <v>582</v>
      </c>
      <c r="C204" s="124" t="s">
        <v>579</v>
      </c>
      <c r="D204" s="179" t="s">
        <v>283</v>
      </c>
      <c r="E204" s="162">
        <v>1</v>
      </c>
      <c r="F204" s="186"/>
      <c r="G204" s="186"/>
      <c r="H204" s="186"/>
    </row>
    <row r="205" spans="1:8" s="187" customFormat="1" ht="15.75" hidden="1" outlineLevel="3" x14ac:dyDescent="0.2">
      <c r="A205" s="191" t="s">
        <v>1141</v>
      </c>
      <c r="B205" s="124" t="s">
        <v>583</v>
      </c>
      <c r="C205" s="124" t="s">
        <v>461</v>
      </c>
      <c r="D205" s="179" t="s">
        <v>283</v>
      </c>
      <c r="E205" s="162">
        <v>3</v>
      </c>
      <c r="F205" s="186"/>
      <c r="G205" s="186"/>
      <c r="H205" s="186"/>
    </row>
    <row r="206" spans="1:8" s="187" customFormat="1" ht="15.75" hidden="1" outlineLevel="3" x14ac:dyDescent="0.2">
      <c r="A206" s="191" t="s">
        <v>1142</v>
      </c>
      <c r="B206" s="124" t="s">
        <v>584</v>
      </c>
      <c r="C206" s="124" t="s">
        <v>581</v>
      </c>
      <c r="D206" s="179" t="s">
        <v>283</v>
      </c>
      <c r="E206" s="162">
        <v>1</v>
      </c>
      <c r="F206" s="186"/>
      <c r="G206" s="186"/>
      <c r="H206" s="186"/>
    </row>
    <row r="207" spans="1:8" s="187" customFormat="1" ht="15.75" hidden="1" outlineLevel="3" x14ac:dyDescent="0.2">
      <c r="A207" s="191" t="s">
        <v>1143</v>
      </c>
      <c r="B207" s="124" t="s">
        <v>586</v>
      </c>
      <c r="C207" s="124" t="s">
        <v>585</v>
      </c>
      <c r="D207" s="179" t="s">
        <v>250</v>
      </c>
      <c r="E207" s="162">
        <v>1</v>
      </c>
      <c r="F207" s="186"/>
      <c r="G207" s="186"/>
      <c r="H207" s="186"/>
    </row>
    <row r="208" spans="1:8" s="196" customFormat="1" ht="15.75" hidden="1" outlineLevel="3" x14ac:dyDescent="0.2">
      <c r="A208" s="208"/>
      <c r="B208" s="93"/>
      <c r="C208" s="261" t="s">
        <v>992</v>
      </c>
      <c r="D208" s="181"/>
      <c r="E208" s="158"/>
      <c r="F208" s="195"/>
      <c r="G208" s="195"/>
      <c r="H208" s="195"/>
    </row>
    <row r="209" spans="1:8" s="187" customFormat="1" ht="25.5" hidden="1" outlineLevel="3" x14ac:dyDescent="0.2">
      <c r="A209" s="191" t="s">
        <v>1144</v>
      </c>
      <c r="B209" s="124" t="s">
        <v>588</v>
      </c>
      <c r="C209" s="124" t="s">
        <v>463</v>
      </c>
      <c r="D209" s="179" t="s">
        <v>283</v>
      </c>
      <c r="E209" s="162">
        <v>1</v>
      </c>
      <c r="F209" s="186"/>
      <c r="G209" s="186"/>
      <c r="H209" s="186"/>
    </row>
    <row r="210" spans="1:8" s="187" customFormat="1" ht="25.5" hidden="1" outlineLevel="3" x14ac:dyDescent="0.2">
      <c r="A210" s="191" t="s">
        <v>1145</v>
      </c>
      <c r="B210" s="124" t="s">
        <v>589</v>
      </c>
      <c r="C210" s="124" t="s">
        <v>465</v>
      </c>
      <c r="D210" s="179" t="s">
        <v>283</v>
      </c>
      <c r="E210" s="162">
        <v>1</v>
      </c>
      <c r="F210" s="186"/>
      <c r="G210" s="186"/>
      <c r="H210" s="186"/>
    </row>
    <row r="211" spans="1:8" s="187" customFormat="1" ht="15.75" hidden="1" outlineLevel="3" x14ac:dyDescent="0.2">
      <c r="A211" s="191" t="s">
        <v>1146</v>
      </c>
      <c r="B211" s="124" t="s">
        <v>591</v>
      </c>
      <c r="C211" s="124" t="s">
        <v>590</v>
      </c>
      <c r="D211" s="179" t="s">
        <v>250</v>
      </c>
      <c r="E211" s="162">
        <v>1</v>
      </c>
      <c r="F211" s="186"/>
      <c r="G211" s="186"/>
      <c r="H211" s="186"/>
    </row>
    <row r="212" spans="1:8" s="187" customFormat="1" ht="15.75" hidden="1" outlineLevel="3" x14ac:dyDescent="0.2">
      <c r="A212" s="191" t="s">
        <v>1147</v>
      </c>
      <c r="B212" s="124" t="s">
        <v>593</v>
      </c>
      <c r="C212" s="124" t="s">
        <v>592</v>
      </c>
      <c r="D212" s="179" t="s">
        <v>250</v>
      </c>
      <c r="E212" s="162">
        <v>1</v>
      </c>
      <c r="F212" s="186"/>
      <c r="G212" s="186"/>
      <c r="H212" s="186"/>
    </row>
    <row r="213" spans="1:8" s="187" customFormat="1" ht="15.75" hidden="1" outlineLevel="3" x14ac:dyDescent="0.2">
      <c r="A213" s="191" t="s">
        <v>1148</v>
      </c>
      <c r="B213" s="124" t="s">
        <v>595</v>
      </c>
      <c r="C213" s="124" t="s">
        <v>594</v>
      </c>
      <c r="D213" s="179" t="s">
        <v>250</v>
      </c>
      <c r="E213" s="162">
        <v>1</v>
      </c>
      <c r="F213" s="186"/>
      <c r="G213" s="186"/>
      <c r="H213" s="186"/>
    </row>
    <row r="214" spans="1:8" s="196" customFormat="1" ht="15.75" hidden="1" outlineLevel="3" x14ac:dyDescent="0.2">
      <c r="A214" s="208"/>
      <c r="B214" s="93"/>
      <c r="C214" s="261" t="s">
        <v>999</v>
      </c>
      <c r="D214" s="181"/>
      <c r="E214" s="158"/>
      <c r="F214" s="202"/>
      <c r="G214" s="195"/>
      <c r="H214" s="195"/>
    </row>
    <row r="215" spans="1:8" s="187" customFormat="1" ht="51" hidden="1" outlineLevel="3" x14ac:dyDescent="0.2">
      <c r="A215" s="191" t="s">
        <v>1149</v>
      </c>
      <c r="B215" s="124" t="s">
        <v>597</v>
      </c>
      <c r="C215" s="124" t="s">
        <v>473</v>
      </c>
      <c r="D215" s="180" t="s">
        <v>283</v>
      </c>
      <c r="E215" s="162">
        <v>1</v>
      </c>
      <c r="F215" s="186"/>
      <c r="G215" s="186"/>
      <c r="H215" s="186"/>
    </row>
    <row r="216" spans="1:8" s="187" customFormat="1" ht="51" hidden="1" outlineLevel="3" x14ac:dyDescent="0.2">
      <c r="A216" s="191" t="s">
        <v>1150</v>
      </c>
      <c r="B216" s="124" t="s">
        <v>598</v>
      </c>
      <c r="C216" s="124" t="s">
        <v>475</v>
      </c>
      <c r="D216" s="180" t="s">
        <v>283</v>
      </c>
      <c r="E216" s="162">
        <v>1</v>
      </c>
      <c r="F216" s="186"/>
      <c r="G216" s="186"/>
      <c r="H216" s="186"/>
    </row>
    <row r="217" spans="1:8" s="187" customFormat="1" ht="63.75" hidden="1" outlineLevel="3" x14ac:dyDescent="0.2">
      <c r="A217" s="191" t="s">
        <v>1151</v>
      </c>
      <c r="B217" s="124" t="s">
        <v>599</v>
      </c>
      <c r="C217" s="124" t="s">
        <v>477</v>
      </c>
      <c r="D217" s="180" t="s">
        <v>283</v>
      </c>
      <c r="E217" s="162">
        <v>1</v>
      </c>
      <c r="F217" s="186"/>
      <c r="G217" s="186"/>
      <c r="H217" s="186"/>
    </row>
    <row r="218" spans="1:8" s="187" customFormat="1" ht="15.75" outlineLevel="1" collapsed="1" x14ac:dyDescent="0.2">
      <c r="A218" s="258" t="s">
        <v>920</v>
      </c>
      <c r="B218" s="124"/>
      <c r="C218" s="255" t="s">
        <v>1005</v>
      </c>
      <c r="D218" s="178" t="s">
        <v>250</v>
      </c>
      <c r="E218" s="158">
        <v>1</v>
      </c>
      <c r="F218" s="186"/>
      <c r="G218" s="186"/>
      <c r="H218" s="186"/>
    </row>
    <row r="219" spans="1:8" s="196" customFormat="1" ht="15.75" hidden="1" outlineLevel="2" x14ac:dyDescent="0.2">
      <c r="A219" s="208"/>
      <c r="B219" s="93"/>
      <c r="C219" s="261" t="s">
        <v>1000</v>
      </c>
      <c r="D219" s="178"/>
      <c r="E219" s="158"/>
      <c r="F219" s="195"/>
      <c r="G219" s="195"/>
      <c r="H219" s="195"/>
    </row>
    <row r="220" spans="1:8" ht="15.75" hidden="1" outlineLevel="2" x14ac:dyDescent="0.2">
      <c r="A220" s="191" t="s">
        <v>921</v>
      </c>
      <c r="B220" s="124" t="s">
        <v>627</v>
      </c>
      <c r="C220" s="124" t="s">
        <v>279</v>
      </c>
      <c r="D220" s="180" t="s">
        <v>250</v>
      </c>
      <c r="E220" s="162">
        <v>1</v>
      </c>
      <c r="F220" s="182"/>
      <c r="G220" s="182"/>
      <c r="H220" s="182"/>
    </row>
    <row r="221" spans="1:8" ht="15.75" hidden="1" outlineLevel="2" x14ac:dyDescent="0.2">
      <c r="A221" s="191" t="s">
        <v>922</v>
      </c>
      <c r="B221" s="124" t="s">
        <v>629</v>
      </c>
      <c r="C221" s="124" t="s">
        <v>628</v>
      </c>
      <c r="D221" s="180" t="s">
        <v>250</v>
      </c>
      <c r="E221" s="162">
        <v>1</v>
      </c>
      <c r="F221" s="182"/>
      <c r="G221" s="182"/>
      <c r="H221" s="182"/>
    </row>
    <row r="222" spans="1:8" ht="15.75" hidden="1" outlineLevel="2" x14ac:dyDescent="0.2">
      <c r="A222" s="191" t="s">
        <v>923</v>
      </c>
      <c r="B222" s="124" t="s">
        <v>631</v>
      </c>
      <c r="C222" s="124" t="s">
        <v>630</v>
      </c>
      <c r="D222" s="180" t="s">
        <v>250</v>
      </c>
      <c r="E222" s="162">
        <v>1</v>
      </c>
      <c r="F222" s="182"/>
      <c r="G222" s="182"/>
      <c r="H222" s="182"/>
    </row>
    <row r="223" spans="1:8" ht="15.75" hidden="1" outlineLevel="2" x14ac:dyDescent="0.2">
      <c r="A223" s="191" t="s">
        <v>924</v>
      </c>
      <c r="B223" s="124" t="s">
        <v>632</v>
      </c>
      <c r="C223" s="124" t="s">
        <v>443</v>
      </c>
      <c r="D223" s="180" t="s">
        <v>250</v>
      </c>
      <c r="E223" s="162">
        <v>1</v>
      </c>
      <c r="F223" s="182"/>
      <c r="G223" s="182"/>
      <c r="H223" s="182"/>
    </row>
    <row r="224" spans="1:8" ht="15.75" hidden="1" outlineLevel="2" x14ac:dyDescent="0.2">
      <c r="A224" s="191" t="s">
        <v>926</v>
      </c>
      <c r="B224" s="124" t="s">
        <v>634</v>
      </c>
      <c r="C224" s="124" t="s">
        <v>633</v>
      </c>
      <c r="D224" s="180" t="s">
        <v>250</v>
      </c>
      <c r="E224" s="162">
        <v>1</v>
      </c>
      <c r="F224" s="182"/>
      <c r="G224" s="182"/>
      <c r="H224" s="182"/>
    </row>
    <row r="225" spans="1:8" ht="15.75" hidden="1" outlineLevel="2" x14ac:dyDescent="0.2">
      <c r="A225" s="191" t="s">
        <v>927</v>
      </c>
      <c r="B225" s="124" t="s">
        <v>636</v>
      </c>
      <c r="C225" s="124" t="s">
        <v>635</v>
      </c>
      <c r="D225" s="180" t="s">
        <v>250</v>
      </c>
      <c r="E225" s="162">
        <v>1</v>
      </c>
      <c r="F225" s="182"/>
      <c r="G225" s="182"/>
      <c r="H225" s="182"/>
    </row>
    <row r="226" spans="1:8" ht="15.75" hidden="1" outlineLevel="2" x14ac:dyDescent="0.2">
      <c r="A226" s="191" t="s">
        <v>928</v>
      </c>
      <c r="B226" s="124" t="s">
        <v>638</v>
      </c>
      <c r="C226" s="124" t="s">
        <v>637</v>
      </c>
      <c r="D226" s="180" t="s">
        <v>271</v>
      </c>
      <c r="E226" s="173">
        <f>21.2</f>
        <v>21.2</v>
      </c>
      <c r="F226" s="182"/>
      <c r="G226" s="182"/>
      <c r="H226" s="182"/>
    </row>
    <row r="227" spans="1:8" s="196" customFormat="1" ht="15.75" hidden="1" outlineLevel="2" x14ac:dyDescent="0.2">
      <c r="A227" s="208"/>
      <c r="B227" s="93"/>
      <c r="C227" s="261" t="s">
        <v>992</v>
      </c>
      <c r="D227" s="178"/>
      <c r="E227" s="158"/>
      <c r="F227" s="195"/>
      <c r="G227" s="195"/>
      <c r="H227" s="195"/>
    </row>
    <row r="228" spans="1:8" ht="15.75" hidden="1" outlineLevel="2" x14ac:dyDescent="0.2">
      <c r="A228" s="191" t="s">
        <v>929</v>
      </c>
      <c r="B228" s="124" t="s">
        <v>640</v>
      </c>
      <c r="C228" s="124" t="s">
        <v>639</v>
      </c>
      <c r="D228" s="180" t="s">
        <v>250</v>
      </c>
      <c r="E228" s="162">
        <v>1</v>
      </c>
      <c r="F228" s="182"/>
      <c r="G228" s="182"/>
      <c r="H228" s="182"/>
    </row>
    <row r="229" spans="1:8" ht="25.5" hidden="1" outlineLevel="2" x14ac:dyDescent="0.2">
      <c r="A229" s="191" t="s">
        <v>930</v>
      </c>
      <c r="B229" s="124" t="s">
        <v>642</v>
      </c>
      <c r="C229" s="124" t="s">
        <v>641</v>
      </c>
      <c r="D229" s="180" t="s">
        <v>283</v>
      </c>
      <c r="E229" s="162">
        <v>1</v>
      </c>
      <c r="F229" s="182"/>
      <c r="G229" s="182"/>
      <c r="H229" s="182"/>
    </row>
    <row r="230" spans="1:8" s="265" customFormat="1" ht="15.75" hidden="1" outlineLevel="2" x14ac:dyDescent="0.2">
      <c r="A230" s="208"/>
      <c r="B230" s="100"/>
      <c r="C230" s="267" t="s">
        <v>142</v>
      </c>
      <c r="D230" s="178"/>
      <c r="E230" s="277"/>
      <c r="F230" s="263" t="s">
        <v>362</v>
      </c>
      <c r="G230" s="264"/>
      <c r="H230" s="264"/>
    </row>
    <row r="231" spans="1:8" s="265" customFormat="1" ht="15.75" hidden="1" outlineLevel="2" x14ac:dyDescent="0.2">
      <c r="A231" s="191"/>
      <c r="B231" s="132"/>
      <c r="C231" s="192" t="s">
        <v>279</v>
      </c>
      <c r="D231" s="180"/>
      <c r="E231" s="233"/>
      <c r="F231" s="264"/>
      <c r="G231" s="264"/>
      <c r="H231" s="264"/>
    </row>
    <row r="232" spans="1:8" s="265" customFormat="1" ht="25.5" hidden="1" outlineLevel="2" x14ac:dyDescent="0.2">
      <c r="A232" s="191" t="s">
        <v>931</v>
      </c>
      <c r="B232" s="132" t="s">
        <v>353</v>
      </c>
      <c r="C232" s="132" t="s">
        <v>265</v>
      </c>
      <c r="D232" s="180" t="s">
        <v>262</v>
      </c>
      <c r="E232" s="233">
        <v>88</v>
      </c>
      <c r="F232" s="266"/>
      <c r="G232" s="264"/>
      <c r="H232" s="264"/>
    </row>
    <row r="233" spans="1:8" s="265" customFormat="1" ht="15.75" hidden="1" outlineLevel="2" x14ac:dyDescent="0.2">
      <c r="A233" s="191" t="s">
        <v>1152</v>
      </c>
      <c r="B233" s="132" t="s">
        <v>355</v>
      </c>
      <c r="C233" s="132" t="s">
        <v>340</v>
      </c>
      <c r="D233" s="180" t="s">
        <v>262</v>
      </c>
      <c r="E233" s="278">
        <f>61.6</f>
        <v>61.6</v>
      </c>
      <c r="F233" s="266"/>
      <c r="G233" s="264"/>
      <c r="H233" s="264"/>
    </row>
    <row r="234" spans="1:8" s="265" customFormat="1" ht="15.75" hidden="1" outlineLevel="2" x14ac:dyDescent="0.2">
      <c r="A234" s="191" t="s">
        <v>1153</v>
      </c>
      <c r="B234" s="132" t="s">
        <v>356</v>
      </c>
      <c r="C234" s="132" t="s">
        <v>354</v>
      </c>
      <c r="D234" s="180" t="s">
        <v>262</v>
      </c>
      <c r="E234" s="278">
        <f>26.4</f>
        <v>26.4</v>
      </c>
      <c r="F234" s="266"/>
      <c r="G234" s="264"/>
      <c r="H234" s="264"/>
    </row>
    <row r="235" spans="1:8" s="265" customFormat="1" ht="15.75" hidden="1" outlineLevel="2" x14ac:dyDescent="0.2">
      <c r="A235" s="191" t="s">
        <v>1154</v>
      </c>
      <c r="B235" s="132" t="s">
        <v>357</v>
      </c>
      <c r="C235" s="132" t="s">
        <v>343</v>
      </c>
      <c r="D235" s="180" t="s">
        <v>262</v>
      </c>
      <c r="E235" s="278">
        <f>26.4</f>
        <v>26.4</v>
      </c>
      <c r="F235" s="266"/>
      <c r="G235" s="264"/>
      <c r="H235" s="264"/>
    </row>
    <row r="236" spans="1:8" s="265" customFormat="1" ht="25.5" hidden="1" outlineLevel="2" x14ac:dyDescent="0.2">
      <c r="A236" s="191" t="s">
        <v>1155</v>
      </c>
      <c r="B236" s="132" t="s">
        <v>360</v>
      </c>
      <c r="C236" s="132" t="s">
        <v>358</v>
      </c>
      <c r="D236" s="180" t="s">
        <v>363</v>
      </c>
      <c r="E236" s="233">
        <v>27</v>
      </c>
      <c r="F236" s="266"/>
      <c r="G236" s="264"/>
      <c r="H236" s="264"/>
    </row>
    <row r="237" spans="1:8" s="265" customFormat="1" ht="25.5" hidden="1" outlineLevel="2" x14ac:dyDescent="0.2">
      <c r="A237" s="191" t="s">
        <v>1156</v>
      </c>
      <c r="B237" s="132" t="s">
        <v>361</v>
      </c>
      <c r="C237" s="132" t="s">
        <v>359</v>
      </c>
      <c r="D237" s="180" t="s">
        <v>363</v>
      </c>
      <c r="E237" s="233">
        <v>36</v>
      </c>
      <c r="F237" s="266"/>
      <c r="G237" s="264"/>
      <c r="H237" s="264"/>
    </row>
    <row r="238" spans="1:8" s="265" customFormat="1" ht="15.75" hidden="1" outlineLevel="2" x14ac:dyDescent="0.2">
      <c r="A238" s="191"/>
      <c r="B238" s="132"/>
      <c r="C238" s="192" t="s">
        <v>364</v>
      </c>
      <c r="D238" s="180"/>
      <c r="E238" s="233"/>
      <c r="F238" s="266"/>
      <c r="G238" s="264"/>
      <c r="H238" s="264"/>
    </row>
    <row r="239" spans="1:8" s="265" customFormat="1" ht="25.5" hidden="1" outlineLevel="2" x14ac:dyDescent="0.2">
      <c r="A239" s="191" t="s">
        <v>1157</v>
      </c>
      <c r="B239" s="132" t="s">
        <v>365</v>
      </c>
      <c r="C239" s="132" t="s">
        <v>764</v>
      </c>
      <c r="D239" s="180" t="s">
        <v>363</v>
      </c>
      <c r="E239" s="233">
        <v>60</v>
      </c>
      <c r="F239" s="266"/>
      <c r="G239" s="264"/>
      <c r="H239" s="264"/>
    </row>
    <row r="240" spans="1:8" s="265" customFormat="1" ht="25.5" hidden="1" outlineLevel="2" x14ac:dyDescent="0.2">
      <c r="A240" s="191" t="s">
        <v>1158</v>
      </c>
      <c r="B240" s="132" t="s">
        <v>366</v>
      </c>
      <c r="C240" s="132" t="s">
        <v>765</v>
      </c>
      <c r="D240" s="180" t="s">
        <v>363</v>
      </c>
      <c r="E240" s="233">
        <v>100</v>
      </c>
      <c r="F240" s="266"/>
      <c r="G240" s="264"/>
      <c r="H240" s="264"/>
    </row>
    <row r="241" spans="1:8" s="265" customFormat="1" ht="25.5" hidden="1" outlineLevel="2" x14ac:dyDescent="0.2">
      <c r="A241" s="191" t="s">
        <v>1159</v>
      </c>
      <c r="B241" s="132" t="s">
        <v>368</v>
      </c>
      <c r="C241" s="132" t="s">
        <v>367</v>
      </c>
      <c r="D241" s="180" t="s">
        <v>363</v>
      </c>
      <c r="E241" s="233">
        <v>220</v>
      </c>
      <c r="F241" s="266"/>
      <c r="G241" s="264"/>
      <c r="H241" s="264"/>
    </row>
    <row r="242" spans="1:8" s="187" customFormat="1" ht="15.75" outlineLevel="1" collapsed="1" x14ac:dyDescent="0.2">
      <c r="A242" s="258" t="s">
        <v>932</v>
      </c>
      <c r="B242" s="124"/>
      <c r="C242" s="255" t="s">
        <v>985</v>
      </c>
      <c r="D242" s="178" t="s">
        <v>250</v>
      </c>
      <c r="E242" s="158">
        <v>1</v>
      </c>
      <c r="F242" s="186"/>
      <c r="G242" s="186"/>
      <c r="H242" s="186"/>
    </row>
    <row r="243" spans="1:8" s="196" customFormat="1" ht="15.75" hidden="1" outlineLevel="2" x14ac:dyDescent="0.2">
      <c r="A243" s="208"/>
      <c r="B243" s="93"/>
      <c r="C243" s="261" t="s">
        <v>1003</v>
      </c>
      <c r="D243" s="178"/>
      <c r="E243" s="158"/>
      <c r="F243" s="195"/>
      <c r="G243" s="195"/>
      <c r="H243" s="195"/>
    </row>
    <row r="244" spans="1:8" ht="15.75" hidden="1" outlineLevel="2" x14ac:dyDescent="0.2">
      <c r="A244" s="191"/>
      <c r="B244" s="93"/>
      <c r="C244" s="201" t="s">
        <v>279</v>
      </c>
      <c r="D244" s="180"/>
      <c r="E244" s="162"/>
      <c r="F244" s="182"/>
      <c r="G244" s="182"/>
      <c r="H244" s="182"/>
    </row>
    <row r="245" spans="1:8" s="187" customFormat="1" ht="25.5" hidden="1" outlineLevel="2" x14ac:dyDescent="0.2">
      <c r="A245" s="191" t="s">
        <v>933</v>
      </c>
      <c r="B245" s="124" t="s">
        <v>643</v>
      </c>
      <c r="C245" s="124" t="s">
        <v>265</v>
      </c>
      <c r="D245" s="180" t="s">
        <v>262</v>
      </c>
      <c r="E245" s="174">
        <f>79.93</f>
        <v>79.930000000000007</v>
      </c>
      <c r="F245" s="189" t="s">
        <v>647</v>
      </c>
      <c r="G245" s="186"/>
      <c r="H245" s="186"/>
    </row>
    <row r="246" spans="1:8" s="187" customFormat="1" ht="63.75" hidden="1" outlineLevel="2" x14ac:dyDescent="0.2">
      <c r="A246" s="191" t="s">
        <v>934</v>
      </c>
      <c r="B246" s="124" t="s">
        <v>645</v>
      </c>
      <c r="C246" s="124" t="s">
        <v>644</v>
      </c>
      <c r="D246" s="180" t="s">
        <v>262</v>
      </c>
      <c r="E246" s="174">
        <f>51.73+25.2</f>
        <v>76.930000000000007</v>
      </c>
      <c r="F246" s="189" t="s">
        <v>646</v>
      </c>
      <c r="G246" s="186"/>
      <c r="H246" s="186"/>
    </row>
    <row r="247" spans="1:8" s="187" customFormat="1" ht="15.75" hidden="1" outlineLevel="2" x14ac:dyDescent="0.2">
      <c r="A247" s="191" t="s">
        <v>935</v>
      </c>
      <c r="B247" s="124" t="s">
        <v>648</v>
      </c>
      <c r="C247" s="124" t="s">
        <v>343</v>
      </c>
      <c r="D247" s="180" t="s">
        <v>262</v>
      </c>
      <c r="E247" s="174">
        <f>51.73</f>
        <v>51.73</v>
      </c>
      <c r="F247" s="203"/>
      <c r="G247" s="186"/>
      <c r="H247" s="186"/>
    </row>
    <row r="248" spans="1:8" s="187" customFormat="1" ht="25.5" hidden="1" outlineLevel="2" x14ac:dyDescent="0.2">
      <c r="A248" s="191" t="s">
        <v>936</v>
      </c>
      <c r="B248" s="124" t="s">
        <v>651</v>
      </c>
      <c r="C248" s="124" t="s">
        <v>649</v>
      </c>
      <c r="D248" s="180" t="s">
        <v>363</v>
      </c>
      <c r="E248" s="162">
        <v>210</v>
      </c>
      <c r="F248" s="189" t="s">
        <v>650</v>
      </c>
      <c r="G248" s="186"/>
      <c r="H248" s="186"/>
    </row>
    <row r="249" spans="1:8" s="187" customFormat="1" ht="15.75" hidden="1" outlineLevel="2" x14ac:dyDescent="0.2">
      <c r="A249" s="191" t="s">
        <v>937</v>
      </c>
      <c r="B249" s="124" t="s">
        <v>652</v>
      </c>
      <c r="C249" s="124" t="s">
        <v>364</v>
      </c>
      <c r="D249" s="180" t="s">
        <v>250</v>
      </c>
      <c r="E249" s="162">
        <v>1</v>
      </c>
      <c r="F249" s="186"/>
      <c r="G249" s="186"/>
      <c r="H249" s="186"/>
    </row>
    <row r="250" spans="1:8" s="196" customFormat="1" ht="15.75" hidden="1" outlineLevel="2" x14ac:dyDescent="0.2">
      <c r="A250" s="208"/>
      <c r="B250" s="93"/>
      <c r="C250" s="261" t="s">
        <v>1004</v>
      </c>
      <c r="D250" s="178"/>
      <c r="E250" s="158"/>
      <c r="F250" s="195"/>
      <c r="G250" s="195"/>
      <c r="H250" s="195"/>
    </row>
    <row r="251" spans="1:8" s="187" customFormat="1" ht="15.75" hidden="1" outlineLevel="2" x14ac:dyDescent="0.2">
      <c r="A251" s="191"/>
      <c r="B251" s="124"/>
      <c r="C251" s="201" t="s">
        <v>279</v>
      </c>
      <c r="D251" s="180"/>
      <c r="E251" s="162"/>
      <c r="F251" s="186"/>
      <c r="G251" s="186"/>
      <c r="H251" s="186"/>
    </row>
    <row r="252" spans="1:8" s="187" customFormat="1" ht="25.5" hidden="1" outlineLevel="2" x14ac:dyDescent="0.2">
      <c r="A252" s="191" t="s">
        <v>938</v>
      </c>
      <c r="B252" s="124" t="s">
        <v>653</v>
      </c>
      <c r="C252" s="124" t="s">
        <v>265</v>
      </c>
      <c r="D252" s="180" t="s">
        <v>262</v>
      </c>
      <c r="E252" s="174">
        <f>47.26</f>
        <v>47.26</v>
      </c>
      <c r="F252" s="186"/>
      <c r="G252" s="186"/>
      <c r="H252" s="186"/>
    </row>
    <row r="253" spans="1:8" s="187" customFormat="1" ht="63.75" hidden="1" outlineLevel="2" x14ac:dyDescent="0.2">
      <c r="A253" s="191" t="s">
        <v>939</v>
      </c>
      <c r="B253" s="124" t="s">
        <v>655</v>
      </c>
      <c r="C253" s="124" t="s">
        <v>654</v>
      </c>
      <c r="D253" s="180" t="s">
        <v>262</v>
      </c>
      <c r="E253" s="174">
        <f>31.78+15.48</f>
        <v>47.26</v>
      </c>
      <c r="F253" s="189" t="s">
        <v>646</v>
      </c>
      <c r="G253" s="186"/>
      <c r="H253" s="186"/>
    </row>
    <row r="254" spans="1:8" s="187" customFormat="1" ht="15.75" hidden="1" outlineLevel="2" x14ac:dyDescent="0.2">
      <c r="A254" s="191" t="s">
        <v>940</v>
      </c>
      <c r="B254" s="124" t="s">
        <v>656</v>
      </c>
      <c r="C254" s="124" t="s">
        <v>343</v>
      </c>
      <c r="D254" s="180" t="s">
        <v>262</v>
      </c>
      <c r="E254" s="174">
        <f>31.78</f>
        <v>31.78</v>
      </c>
      <c r="F254" s="186"/>
      <c r="G254" s="186"/>
      <c r="H254" s="186"/>
    </row>
    <row r="255" spans="1:8" s="187" customFormat="1" ht="63.75" hidden="1" outlineLevel="2" x14ac:dyDescent="0.2">
      <c r="A255" s="191" t="s">
        <v>941</v>
      </c>
      <c r="B255" s="124" t="s">
        <v>658</v>
      </c>
      <c r="C255" s="124" t="s">
        <v>657</v>
      </c>
      <c r="D255" s="180" t="s">
        <v>363</v>
      </c>
      <c r="E255" s="162">
        <v>258</v>
      </c>
      <c r="F255" s="189" t="s">
        <v>913</v>
      </c>
      <c r="G255" s="186"/>
      <c r="H255" s="186"/>
    </row>
    <row r="256" spans="1:8" s="187" customFormat="1" ht="15.75" hidden="1" outlineLevel="2" x14ac:dyDescent="0.2">
      <c r="A256" s="191" t="s">
        <v>942</v>
      </c>
      <c r="B256" s="124" t="s">
        <v>659</v>
      </c>
      <c r="C256" s="124" t="s">
        <v>364</v>
      </c>
      <c r="D256" s="180" t="s">
        <v>250</v>
      </c>
      <c r="E256" s="162">
        <v>1</v>
      </c>
      <c r="F256" s="186"/>
      <c r="G256" s="186"/>
      <c r="H256" s="186"/>
    </row>
    <row r="257" spans="1:8" s="196" customFormat="1" ht="15.75" outlineLevel="1" collapsed="1" x14ac:dyDescent="0.2">
      <c r="A257" s="280" t="s">
        <v>944</v>
      </c>
      <c r="B257" s="114" t="s">
        <v>40</v>
      </c>
      <c r="C257" s="279" t="s">
        <v>102</v>
      </c>
      <c r="D257" s="235" t="s">
        <v>250</v>
      </c>
      <c r="E257" s="236">
        <v>1</v>
      </c>
      <c r="F257" s="195"/>
      <c r="G257" s="195"/>
      <c r="H257" s="195"/>
    </row>
    <row r="258" spans="1:8" s="187" customFormat="1" ht="15.75" outlineLevel="1" x14ac:dyDescent="0.2">
      <c r="A258" s="258" t="s">
        <v>945</v>
      </c>
      <c r="B258" s="124"/>
      <c r="C258" s="255" t="s">
        <v>986</v>
      </c>
      <c r="D258" s="178" t="s">
        <v>250</v>
      </c>
      <c r="E258" s="158">
        <v>1</v>
      </c>
      <c r="F258" s="186"/>
      <c r="G258" s="186"/>
      <c r="H258" s="186"/>
    </row>
    <row r="259" spans="1:8" s="187" customFormat="1" ht="15.75" hidden="1" outlineLevel="2" x14ac:dyDescent="0.2">
      <c r="A259" s="191" t="s">
        <v>1160</v>
      </c>
      <c r="B259" s="132" t="s">
        <v>370</v>
      </c>
      <c r="C259" s="132" t="s">
        <v>369</v>
      </c>
      <c r="D259" s="180" t="s">
        <v>305</v>
      </c>
      <c r="E259" s="162">
        <v>4</v>
      </c>
      <c r="F259" s="186"/>
      <c r="G259" s="186"/>
      <c r="H259" s="186"/>
    </row>
    <row r="260" spans="1:8" s="187" customFormat="1" ht="25.5" hidden="1" outlineLevel="2" x14ac:dyDescent="0.2">
      <c r="A260" s="191" t="s">
        <v>1161</v>
      </c>
      <c r="B260" s="132" t="s">
        <v>372</v>
      </c>
      <c r="C260" s="132" t="s">
        <v>371</v>
      </c>
      <c r="D260" s="180" t="s">
        <v>305</v>
      </c>
      <c r="E260" s="162">
        <v>8</v>
      </c>
      <c r="F260" s="186"/>
      <c r="G260" s="186"/>
      <c r="H260" s="186"/>
    </row>
    <row r="261" spans="1:8" s="187" customFormat="1" ht="15.75" hidden="1" outlineLevel="2" x14ac:dyDescent="0.2">
      <c r="A261" s="191" t="s">
        <v>1162</v>
      </c>
      <c r="B261" s="132" t="s">
        <v>374</v>
      </c>
      <c r="C261" s="132" t="s">
        <v>373</v>
      </c>
      <c r="D261" s="180" t="s">
        <v>305</v>
      </c>
      <c r="E261" s="162">
        <v>4</v>
      </c>
      <c r="F261" s="186"/>
      <c r="G261" s="186"/>
      <c r="H261" s="186"/>
    </row>
    <row r="262" spans="1:8" s="187" customFormat="1" ht="25.5" hidden="1" outlineLevel="2" x14ac:dyDescent="0.2">
      <c r="A262" s="191" t="s">
        <v>1163</v>
      </c>
      <c r="B262" s="132" t="s">
        <v>376</v>
      </c>
      <c r="C262" s="132" t="s">
        <v>375</v>
      </c>
      <c r="D262" s="180" t="s">
        <v>305</v>
      </c>
      <c r="E262" s="162">
        <v>4</v>
      </c>
      <c r="F262" s="186"/>
      <c r="G262" s="186"/>
      <c r="H262" s="186"/>
    </row>
    <row r="263" spans="1:8" s="187" customFormat="1" ht="25.5" hidden="1" outlineLevel="2" x14ac:dyDescent="0.2">
      <c r="A263" s="191" t="s">
        <v>1164</v>
      </c>
      <c r="B263" s="132" t="s">
        <v>378</v>
      </c>
      <c r="C263" s="132" t="s">
        <v>377</v>
      </c>
      <c r="D263" s="180" t="s">
        <v>305</v>
      </c>
      <c r="E263" s="162">
        <v>4</v>
      </c>
      <c r="F263" s="186"/>
      <c r="G263" s="186"/>
      <c r="H263" s="186"/>
    </row>
    <row r="264" spans="1:8" s="187" customFormat="1" ht="25.5" hidden="1" outlineLevel="2" x14ac:dyDescent="0.2">
      <c r="A264" s="191" t="s">
        <v>1165</v>
      </c>
      <c r="B264" s="132" t="s">
        <v>380</v>
      </c>
      <c r="C264" s="132" t="s">
        <v>379</v>
      </c>
      <c r="D264" s="180" t="s">
        <v>305</v>
      </c>
      <c r="E264" s="162">
        <v>8</v>
      </c>
      <c r="F264" s="186"/>
      <c r="G264" s="186"/>
      <c r="H264" s="186"/>
    </row>
    <row r="265" spans="1:8" s="187" customFormat="1" ht="25.5" hidden="1" outlineLevel="2" x14ac:dyDescent="0.2">
      <c r="A265" s="191" t="s">
        <v>1166</v>
      </c>
      <c r="B265" s="132" t="s">
        <v>382</v>
      </c>
      <c r="C265" s="132" t="s">
        <v>381</v>
      </c>
      <c r="D265" s="180" t="s">
        <v>305</v>
      </c>
      <c r="E265" s="162">
        <v>12</v>
      </c>
      <c r="F265" s="186"/>
      <c r="G265" s="186"/>
      <c r="H265" s="186"/>
    </row>
    <row r="266" spans="1:8" s="187" customFormat="1" ht="15.75" hidden="1" outlineLevel="2" x14ac:dyDescent="0.2">
      <c r="A266" s="191" t="s">
        <v>1167</v>
      </c>
      <c r="B266" s="132" t="s">
        <v>386</v>
      </c>
      <c r="C266" s="132" t="s">
        <v>383</v>
      </c>
      <c r="D266" s="180" t="s">
        <v>305</v>
      </c>
      <c r="E266" s="162">
        <v>4</v>
      </c>
      <c r="F266" s="186"/>
      <c r="G266" s="186"/>
      <c r="H266" s="186"/>
    </row>
    <row r="267" spans="1:8" s="187" customFormat="1" ht="38.25" hidden="1" outlineLevel="2" x14ac:dyDescent="0.2">
      <c r="A267" s="191" t="s">
        <v>1168</v>
      </c>
      <c r="B267" s="198" t="s">
        <v>385</v>
      </c>
      <c r="C267" s="198" t="s">
        <v>384</v>
      </c>
      <c r="D267" s="199" t="s">
        <v>305</v>
      </c>
      <c r="E267" s="200">
        <v>4</v>
      </c>
      <c r="F267" s="189" t="s">
        <v>408</v>
      </c>
      <c r="G267" s="186"/>
      <c r="H267" s="186"/>
    </row>
    <row r="268" spans="1:8" s="187" customFormat="1" ht="25.5" hidden="1" outlineLevel="2" x14ac:dyDescent="0.2">
      <c r="A268" s="191" t="s">
        <v>1169</v>
      </c>
      <c r="B268" s="132" t="s">
        <v>388</v>
      </c>
      <c r="C268" s="132" t="s">
        <v>387</v>
      </c>
      <c r="D268" s="180" t="s">
        <v>305</v>
      </c>
      <c r="E268" s="162">
        <v>20</v>
      </c>
      <c r="F268" s="186"/>
      <c r="G268" s="186"/>
      <c r="H268" s="186"/>
    </row>
    <row r="269" spans="1:8" s="187" customFormat="1" ht="15.75" hidden="1" outlineLevel="2" x14ac:dyDescent="0.2">
      <c r="A269" s="191" t="s">
        <v>1170</v>
      </c>
      <c r="B269" s="132" t="s">
        <v>391</v>
      </c>
      <c r="C269" s="132" t="s">
        <v>389</v>
      </c>
      <c r="D269" s="180" t="s">
        <v>305</v>
      </c>
      <c r="E269" s="162">
        <v>4</v>
      </c>
      <c r="F269" s="186"/>
      <c r="G269" s="186"/>
      <c r="H269" s="186"/>
    </row>
    <row r="270" spans="1:8" s="187" customFormat="1" ht="15.75" hidden="1" outlineLevel="2" x14ac:dyDescent="0.2">
      <c r="A270" s="191" t="s">
        <v>1171</v>
      </c>
      <c r="B270" s="132" t="s">
        <v>392</v>
      </c>
      <c r="C270" s="132" t="s">
        <v>390</v>
      </c>
      <c r="D270" s="180" t="s">
        <v>305</v>
      </c>
      <c r="E270" s="162">
        <v>4</v>
      </c>
      <c r="F270" s="186"/>
      <c r="G270" s="186"/>
      <c r="H270" s="186"/>
    </row>
    <row r="271" spans="1:8" s="187" customFormat="1" ht="15.75" hidden="1" outlineLevel="2" x14ac:dyDescent="0.2">
      <c r="A271" s="191" t="s">
        <v>1172</v>
      </c>
      <c r="B271" s="132" t="s">
        <v>394</v>
      </c>
      <c r="C271" s="132" t="s">
        <v>393</v>
      </c>
      <c r="D271" s="180" t="s">
        <v>305</v>
      </c>
      <c r="E271" s="162">
        <v>4</v>
      </c>
      <c r="F271" s="186"/>
      <c r="G271" s="186"/>
      <c r="H271" s="186"/>
    </row>
    <row r="272" spans="1:8" s="187" customFormat="1" ht="25.5" hidden="1" outlineLevel="2" x14ac:dyDescent="0.2">
      <c r="A272" s="191" t="s">
        <v>1173</v>
      </c>
      <c r="B272" s="132" t="s">
        <v>396</v>
      </c>
      <c r="C272" s="132" t="s">
        <v>395</v>
      </c>
      <c r="D272" s="180" t="s">
        <v>305</v>
      </c>
      <c r="E272" s="162">
        <v>4</v>
      </c>
      <c r="F272" s="186"/>
      <c r="G272" s="186"/>
      <c r="H272" s="186"/>
    </row>
    <row r="273" spans="1:8" s="187" customFormat="1" ht="25.5" hidden="1" outlineLevel="2" x14ac:dyDescent="0.2">
      <c r="A273" s="191" t="s">
        <v>1174</v>
      </c>
      <c r="B273" s="132" t="s">
        <v>398</v>
      </c>
      <c r="C273" s="132" t="s">
        <v>397</v>
      </c>
      <c r="D273" s="180" t="s">
        <v>305</v>
      </c>
      <c r="E273" s="162">
        <v>4</v>
      </c>
      <c r="F273" s="186" t="s">
        <v>403</v>
      </c>
      <c r="G273" s="186"/>
      <c r="H273" s="186"/>
    </row>
    <row r="274" spans="1:8" s="187" customFormat="1" ht="15.75" hidden="1" outlineLevel="2" x14ac:dyDescent="0.2">
      <c r="A274" s="191" t="s">
        <v>1175</v>
      </c>
      <c r="B274" s="132" t="s">
        <v>400</v>
      </c>
      <c r="C274" s="132" t="s">
        <v>399</v>
      </c>
      <c r="D274" s="180" t="s">
        <v>305</v>
      </c>
      <c r="E274" s="162">
        <v>4</v>
      </c>
      <c r="F274" s="186"/>
      <c r="G274" s="186"/>
      <c r="H274" s="186"/>
    </row>
    <row r="275" spans="1:8" s="187" customFormat="1" ht="15.75" hidden="1" outlineLevel="2" x14ac:dyDescent="0.2">
      <c r="A275" s="191" t="s">
        <v>1176</v>
      </c>
      <c r="B275" s="132" t="s">
        <v>402</v>
      </c>
      <c r="C275" s="132" t="s">
        <v>401</v>
      </c>
      <c r="D275" s="180" t="s">
        <v>363</v>
      </c>
      <c r="E275" s="162">
        <v>550</v>
      </c>
      <c r="F275" s="186"/>
      <c r="G275" s="186"/>
      <c r="H275" s="186"/>
    </row>
    <row r="276" spans="1:8" s="187" customFormat="1" ht="25.5" hidden="1" outlineLevel="2" x14ac:dyDescent="0.2">
      <c r="A276" s="191" t="s">
        <v>1177</v>
      </c>
      <c r="B276" s="132" t="s">
        <v>405</v>
      </c>
      <c r="C276" s="132" t="s">
        <v>404</v>
      </c>
      <c r="D276" s="180" t="s">
        <v>363</v>
      </c>
      <c r="E276" s="162">
        <v>200</v>
      </c>
      <c r="F276" s="186"/>
      <c r="G276" s="186"/>
      <c r="H276" s="186"/>
    </row>
    <row r="277" spans="1:8" s="187" customFormat="1" ht="15.75" hidden="1" outlineLevel="2" x14ac:dyDescent="0.2">
      <c r="A277" s="191" t="s">
        <v>1178</v>
      </c>
      <c r="B277" s="132" t="s">
        <v>407</v>
      </c>
      <c r="C277" s="132" t="s">
        <v>406</v>
      </c>
      <c r="D277" s="180" t="s">
        <v>305</v>
      </c>
      <c r="E277" s="162">
        <v>50</v>
      </c>
      <c r="F277" s="186"/>
      <c r="G277" s="186"/>
      <c r="H277" s="186"/>
    </row>
    <row r="278" spans="1:8" s="187" customFormat="1" ht="25.5" hidden="1" outlineLevel="2" x14ac:dyDescent="0.2">
      <c r="A278" s="191" t="s">
        <v>1179</v>
      </c>
      <c r="B278" s="132" t="s">
        <v>410</v>
      </c>
      <c r="C278" s="132" t="s">
        <v>409</v>
      </c>
      <c r="D278" s="180" t="s">
        <v>363</v>
      </c>
      <c r="E278" s="162">
        <v>520</v>
      </c>
      <c r="F278" s="186"/>
      <c r="G278" s="186"/>
      <c r="H278" s="186"/>
    </row>
    <row r="279" spans="1:8" s="187" customFormat="1" ht="15.75" hidden="1" outlineLevel="2" x14ac:dyDescent="0.2">
      <c r="A279" s="191" t="s">
        <v>1180</v>
      </c>
      <c r="B279" s="132" t="s">
        <v>412</v>
      </c>
      <c r="C279" s="132" t="s">
        <v>411</v>
      </c>
      <c r="D279" s="180" t="s">
        <v>363</v>
      </c>
      <c r="E279" s="162">
        <v>520</v>
      </c>
      <c r="F279" s="186"/>
      <c r="G279" s="186"/>
      <c r="H279" s="186"/>
    </row>
    <row r="280" spans="1:8" s="187" customFormat="1" ht="15.75" hidden="1" outlineLevel="2" x14ac:dyDescent="0.2">
      <c r="A280" s="191" t="s">
        <v>1181</v>
      </c>
      <c r="B280" s="132" t="s">
        <v>414</v>
      </c>
      <c r="C280" s="132" t="s">
        <v>413</v>
      </c>
      <c r="D280" s="180" t="s">
        <v>363</v>
      </c>
      <c r="E280" s="162">
        <v>10</v>
      </c>
      <c r="F280" s="186"/>
      <c r="G280" s="186"/>
      <c r="H280" s="186"/>
    </row>
    <row r="281" spans="1:8" s="187" customFormat="1" ht="15.75" hidden="1" outlineLevel="2" x14ac:dyDescent="0.2">
      <c r="A281" s="191" t="s">
        <v>1182</v>
      </c>
      <c r="B281" s="132" t="s">
        <v>416</v>
      </c>
      <c r="C281" s="132" t="s">
        <v>415</v>
      </c>
      <c r="D281" s="180" t="s">
        <v>363</v>
      </c>
      <c r="E281" s="162">
        <v>400</v>
      </c>
      <c r="F281" s="186"/>
      <c r="G281" s="186"/>
      <c r="H281" s="186"/>
    </row>
    <row r="282" spans="1:8" s="187" customFormat="1" ht="15.75" outlineLevel="1" collapsed="1" x14ac:dyDescent="0.2">
      <c r="A282" s="258" t="s">
        <v>946</v>
      </c>
      <c r="B282" s="124"/>
      <c r="C282" s="255" t="s">
        <v>987</v>
      </c>
      <c r="D282" s="178" t="s">
        <v>250</v>
      </c>
      <c r="E282" s="158">
        <v>1</v>
      </c>
      <c r="F282" s="186"/>
      <c r="G282" s="186"/>
      <c r="H282" s="186"/>
    </row>
    <row r="283" spans="1:8" s="187" customFormat="1" ht="60.75" hidden="1" customHeight="1" outlineLevel="2" x14ac:dyDescent="0.2">
      <c r="A283" s="191" t="s">
        <v>1183</v>
      </c>
      <c r="B283" s="132" t="s">
        <v>307</v>
      </c>
      <c r="C283" s="132" t="s">
        <v>715</v>
      </c>
      <c r="D283" s="180" t="s">
        <v>305</v>
      </c>
      <c r="E283" s="162">
        <v>34</v>
      </c>
      <c r="F283" s="684" t="s">
        <v>727</v>
      </c>
      <c r="G283" s="173">
        <f>203.7</f>
        <v>203.7</v>
      </c>
      <c r="H283" s="186">
        <f>E283*G283</f>
        <v>6925.8</v>
      </c>
    </row>
    <row r="284" spans="1:8" s="187" customFormat="1" ht="54" hidden="1" customHeight="1" outlineLevel="2" x14ac:dyDescent="0.2">
      <c r="A284" s="191" t="s">
        <v>1184</v>
      </c>
      <c r="B284" s="132" t="s">
        <v>307</v>
      </c>
      <c r="C284" s="132" t="s">
        <v>306</v>
      </c>
      <c r="D284" s="180" t="s">
        <v>305</v>
      </c>
      <c r="E284" s="162">
        <v>1</v>
      </c>
      <c r="F284" s="685"/>
      <c r="G284" s="173">
        <f>225.3</f>
        <v>225.3</v>
      </c>
      <c r="H284" s="186">
        <f>E284*G284</f>
        <v>225.3</v>
      </c>
    </row>
    <row r="285" spans="1:8" ht="69" customHeight="1" outlineLevel="1" collapsed="1" x14ac:dyDescent="0.2">
      <c r="A285" s="206" t="s">
        <v>947</v>
      </c>
      <c r="B285" s="93" t="s">
        <v>51</v>
      </c>
      <c r="C285" s="93" t="s">
        <v>52</v>
      </c>
      <c r="D285" s="178" t="s">
        <v>250</v>
      </c>
      <c r="E285" s="158">
        <v>1</v>
      </c>
      <c r="F285" s="182"/>
      <c r="G285" s="182"/>
      <c r="H285" s="182"/>
    </row>
    <row r="286" spans="1:8" ht="89.25" outlineLevel="1" x14ac:dyDescent="0.2">
      <c r="A286" s="206" t="s">
        <v>948</v>
      </c>
      <c r="B286" s="93" t="s">
        <v>106</v>
      </c>
      <c r="C286" s="93" t="s">
        <v>709</v>
      </c>
      <c r="D286" s="178" t="s">
        <v>271</v>
      </c>
      <c r="E286" s="158">
        <f>(2060+245+175)*3</f>
        <v>7440</v>
      </c>
      <c r="F286" s="183" t="s">
        <v>710</v>
      </c>
      <c r="G286" s="182"/>
      <c r="H286" s="182"/>
    </row>
    <row r="287" spans="1:8" ht="25.5" outlineLevel="1" x14ac:dyDescent="0.2">
      <c r="A287" s="206" t="s">
        <v>949</v>
      </c>
      <c r="B287" s="93" t="s">
        <v>53</v>
      </c>
      <c r="C287" s="93" t="s">
        <v>54</v>
      </c>
      <c r="D287" s="178" t="s">
        <v>250</v>
      </c>
      <c r="E287" s="158">
        <v>1</v>
      </c>
      <c r="F287" s="182"/>
      <c r="G287" s="182"/>
      <c r="H287" s="182"/>
    </row>
    <row r="288" spans="1:8" ht="15.75" outlineLevel="1" x14ac:dyDescent="0.2">
      <c r="A288" s="206" t="s">
        <v>952</v>
      </c>
      <c r="B288" s="100" t="s">
        <v>110</v>
      </c>
      <c r="C288" s="100" t="s">
        <v>111</v>
      </c>
      <c r="D288" s="178" t="s">
        <v>250</v>
      </c>
      <c r="E288" s="158">
        <v>1</v>
      </c>
      <c r="F288" s="182"/>
      <c r="G288" s="182"/>
      <c r="H288" s="182"/>
    </row>
    <row r="289" spans="1:8" ht="25.5" outlineLevel="1" x14ac:dyDescent="0.2">
      <c r="A289" s="206" t="s">
        <v>1192</v>
      </c>
      <c r="B289" s="100" t="s">
        <v>55</v>
      </c>
      <c r="C289" s="100" t="s">
        <v>113</v>
      </c>
      <c r="D289" s="178" t="s">
        <v>250</v>
      </c>
      <c r="E289" s="158">
        <v>1</v>
      </c>
      <c r="F289" s="182"/>
      <c r="G289" s="182"/>
      <c r="H289" s="182"/>
    </row>
    <row r="290" spans="1:8" ht="15.75" outlineLevel="1" x14ac:dyDescent="0.2">
      <c r="A290" s="206" t="s">
        <v>1193</v>
      </c>
      <c r="B290" s="100" t="s">
        <v>57</v>
      </c>
      <c r="C290" s="100" t="s">
        <v>114</v>
      </c>
      <c r="D290" s="165" t="s">
        <v>250</v>
      </c>
      <c r="E290" s="158">
        <v>1</v>
      </c>
      <c r="F290" s="182"/>
      <c r="G290" s="182"/>
      <c r="H290" s="182"/>
    </row>
    <row r="291" spans="1:8" s="187" customFormat="1" ht="15.75" hidden="1" outlineLevel="2" x14ac:dyDescent="0.2">
      <c r="A291" s="191" t="s">
        <v>1195</v>
      </c>
      <c r="B291" s="132" t="s">
        <v>211</v>
      </c>
      <c r="C291" s="133" t="s">
        <v>209</v>
      </c>
      <c r="D291" s="204" t="s">
        <v>250</v>
      </c>
      <c r="E291" s="162">
        <v>1</v>
      </c>
      <c r="F291" s="186"/>
      <c r="G291" s="186"/>
      <c r="H291" s="186"/>
    </row>
    <row r="292" spans="1:8" s="187" customFormat="1" ht="15.75" hidden="1" outlineLevel="2" x14ac:dyDescent="0.2">
      <c r="A292" s="191" t="s">
        <v>1196</v>
      </c>
      <c r="B292" s="132" t="s">
        <v>212</v>
      </c>
      <c r="C292" s="133" t="s">
        <v>210</v>
      </c>
      <c r="D292" s="204" t="s">
        <v>250</v>
      </c>
      <c r="E292" s="162">
        <v>1</v>
      </c>
      <c r="F292" s="186"/>
      <c r="G292" s="186"/>
      <c r="H292" s="186"/>
    </row>
    <row r="293" spans="1:8" ht="25.5" outlineLevel="1" collapsed="1" x14ac:dyDescent="0.2">
      <c r="A293" s="211" t="s">
        <v>1197</v>
      </c>
      <c r="B293" s="171" t="s">
        <v>70</v>
      </c>
      <c r="C293" s="171" t="s">
        <v>90</v>
      </c>
      <c r="D293" s="184" t="s">
        <v>250</v>
      </c>
      <c r="E293" s="170">
        <v>1</v>
      </c>
      <c r="F293" s="182"/>
      <c r="G293" s="182"/>
      <c r="H293" s="182"/>
    </row>
    <row r="294" spans="1:8" s="187" customFormat="1" ht="54" customHeight="1" x14ac:dyDescent="0.2">
      <c r="A294" s="282" t="s">
        <v>295</v>
      </c>
      <c r="B294" s="283"/>
      <c r="C294" s="281" t="s">
        <v>296</v>
      </c>
      <c r="D294" s="177" t="s">
        <v>250</v>
      </c>
      <c r="E294" s="154">
        <v>1</v>
      </c>
      <c r="F294" s="188"/>
      <c r="G294" s="173"/>
      <c r="H294" s="186"/>
    </row>
    <row r="295" spans="1:8" ht="15.75" outlineLevel="1" x14ac:dyDescent="0.2">
      <c r="A295" s="256" t="s">
        <v>297</v>
      </c>
      <c r="B295" s="256"/>
      <c r="C295" s="284" t="s">
        <v>989</v>
      </c>
      <c r="D295" s="285" t="s">
        <v>250</v>
      </c>
      <c r="E295" s="277">
        <v>1</v>
      </c>
      <c r="F295" s="182"/>
      <c r="G295" s="182"/>
      <c r="H295" s="182"/>
    </row>
    <row r="296" spans="1:8" s="196" customFormat="1" ht="25.5" hidden="1" outlineLevel="2" x14ac:dyDescent="0.2">
      <c r="A296" s="208" t="s">
        <v>953</v>
      </c>
      <c r="B296" s="93" t="s">
        <v>191</v>
      </c>
      <c r="C296" s="93" t="s">
        <v>192</v>
      </c>
      <c r="D296" s="157" t="s">
        <v>250</v>
      </c>
      <c r="E296" s="158">
        <v>1</v>
      </c>
      <c r="F296" s="195"/>
      <c r="G296" s="195"/>
      <c r="H296" s="195"/>
    </row>
    <row r="297" spans="1:8" s="196" customFormat="1" ht="25.5" hidden="1" outlineLevel="2" x14ac:dyDescent="0.2">
      <c r="A297" s="208" t="s">
        <v>954</v>
      </c>
      <c r="B297" s="93" t="s">
        <v>193</v>
      </c>
      <c r="C297" s="93" t="s">
        <v>194</v>
      </c>
      <c r="D297" s="157" t="s">
        <v>250</v>
      </c>
      <c r="E297" s="158">
        <v>1</v>
      </c>
      <c r="F297" s="195"/>
      <c r="G297" s="195"/>
      <c r="H297" s="195"/>
    </row>
    <row r="298" spans="1:8" s="196" customFormat="1" ht="15.75" hidden="1" outlineLevel="2" x14ac:dyDescent="0.2">
      <c r="A298" s="208" t="s">
        <v>955</v>
      </c>
      <c r="B298" s="93" t="s">
        <v>195</v>
      </c>
      <c r="C298" s="93" t="s">
        <v>196</v>
      </c>
      <c r="D298" s="212" t="s">
        <v>250</v>
      </c>
      <c r="E298" s="158">
        <v>1</v>
      </c>
      <c r="F298" s="195"/>
      <c r="G298" s="195"/>
      <c r="H298" s="195"/>
    </row>
    <row r="299" spans="1:8" ht="15.75" hidden="1" outlineLevel="2" x14ac:dyDescent="0.2">
      <c r="A299" s="208" t="s">
        <v>956</v>
      </c>
      <c r="B299" s="100" t="s">
        <v>110</v>
      </c>
      <c r="C299" s="100" t="s">
        <v>111</v>
      </c>
      <c r="D299" s="157" t="s">
        <v>250</v>
      </c>
      <c r="E299" s="158">
        <v>1</v>
      </c>
      <c r="F299" s="182"/>
      <c r="G299" s="182"/>
      <c r="H299" s="182"/>
    </row>
    <row r="300" spans="1:8" ht="25.5" hidden="1" outlineLevel="2" x14ac:dyDescent="0.2">
      <c r="A300" s="208" t="s">
        <v>959</v>
      </c>
      <c r="B300" s="93" t="s">
        <v>70</v>
      </c>
      <c r="C300" s="93" t="s">
        <v>90</v>
      </c>
      <c r="D300" s="214" t="s">
        <v>250</v>
      </c>
      <c r="E300" s="158">
        <v>1</v>
      </c>
      <c r="F300" s="182"/>
      <c r="G300" s="182"/>
      <c r="H300" s="182"/>
    </row>
    <row r="301" spans="1:8" s="187" customFormat="1" ht="15.75" outlineLevel="1" collapsed="1" x14ac:dyDescent="0.2">
      <c r="A301" s="258" t="s">
        <v>298</v>
      </c>
      <c r="B301" s="124"/>
      <c r="C301" s="255" t="s">
        <v>988</v>
      </c>
      <c r="D301" s="285" t="s">
        <v>250</v>
      </c>
      <c r="E301" s="277">
        <v>1</v>
      </c>
      <c r="F301" s="186"/>
      <c r="G301" s="186"/>
      <c r="H301" s="186"/>
    </row>
    <row r="302" spans="1:8" s="196" customFormat="1" ht="15.75" hidden="1" outlineLevel="2" x14ac:dyDescent="0.2">
      <c r="A302" s="208" t="s">
        <v>1185</v>
      </c>
      <c r="B302" s="93" t="s">
        <v>197</v>
      </c>
      <c r="C302" s="93" t="s">
        <v>198</v>
      </c>
      <c r="D302" s="212" t="s">
        <v>250</v>
      </c>
      <c r="E302" s="158">
        <v>1</v>
      </c>
      <c r="F302" s="195"/>
      <c r="G302" s="195"/>
      <c r="H302" s="195"/>
    </row>
    <row r="303" spans="1:8" s="187" customFormat="1" ht="15.75" hidden="1" outlineLevel="3" x14ac:dyDescent="0.2">
      <c r="A303" s="191" t="s">
        <v>1186</v>
      </c>
      <c r="B303" s="124" t="s">
        <v>712</v>
      </c>
      <c r="C303" s="124" t="s">
        <v>711</v>
      </c>
      <c r="D303" s="213" t="s">
        <v>250</v>
      </c>
      <c r="E303" s="162">
        <v>1</v>
      </c>
      <c r="F303" s="186"/>
      <c r="G303" s="186"/>
      <c r="H303" s="186"/>
    </row>
    <row r="304" spans="1:8" s="187" customFormat="1" ht="15.75" hidden="1" outlineLevel="3" x14ac:dyDescent="0.2">
      <c r="A304" s="191" t="s">
        <v>1187</v>
      </c>
      <c r="B304" s="124" t="s">
        <v>713</v>
      </c>
      <c r="C304" s="124" t="s">
        <v>714</v>
      </c>
      <c r="D304" s="213" t="s">
        <v>250</v>
      </c>
      <c r="E304" s="162">
        <v>1</v>
      </c>
      <c r="F304" s="186"/>
      <c r="G304" s="186"/>
      <c r="H304" s="186"/>
    </row>
    <row r="305" spans="1:8" s="196" customFormat="1" ht="15.75" hidden="1" outlineLevel="2" x14ac:dyDescent="0.2">
      <c r="A305" s="208" t="s">
        <v>1188</v>
      </c>
      <c r="B305" s="93" t="s">
        <v>199</v>
      </c>
      <c r="C305" s="93" t="s">
        <v>200</v>
      </c>
      <c r="D305" s="212" t="s">
        <v>250</v>
      </c>
      <c r="E305" s="158">
        <v>1</v>
      </c>
      <c r="F305" s="195"/>
      <c r="G305" s="195"/>
      <c r="H305" s="195"/>
    </row>
    <row r="306" spans="1:8" s="196" customFormat="1" ht="15.75" hidden="1" outlineLevel="2" x14ac:dyDescent="0.2">
      <c r="A306" s="208" t="s">
        <v>1189</v>
      </c>
      <c r="B306" s="93" t="s">
        <v>201</v>
      </c>
      <c r="C306" s="93" t="s">
        <v>202</v>
      </c>
      <c r="D306" s="212" t="s">
        <v>250</v>
      </c>
      <c r="E306" s="158">
        <v>1</v>
      </c>
      <c r="F306" s="195"/>
      <c r="G306" s="195"/>
      <c r="H306" s="195"/>
    </row>
    <row r="307" spans="1:8" ht="15.75" hidden="1" outlineLevel="2" x14ac:dyDescent="0.2">
      <c r="A307" s="208" t="s">
        <v>1190</v>
      </c>
      <c r="B307" s="100" t="s">
        <v>110</v>
      </c>
      <c r="C307" s="100" t="s">
        <v>111</v>
      </c>
      <c r="D307" s="157" t="s">
        <v>250</v>
      </c>
      <c r="E307" s="158">
        <v>1</v>
      </c>
      <c r="F307" s="182"/>
      <c r="G307" s="182"/>
      <c r="H307" s="182"/>
    </row>
    <row r="308" spans="1:8" ht="25.5" hidden="1" outlineLevel="2" x14ac:dyDescent="0.2">
      <c r="A308" s="208" t="s">
        <v>1191</v>
      </c>
      <c r="B308" s="93" t="s">
        <v>70</v>
      </c>
      <c r="C308" s="93" t="s">
        <v>90</v>
      </c>
      <c r="D308" s="214" t="s">
        <v>250</v>
      </c>
      <c r="E308" s="158">
        <v>1</v>
      </c>
      <c r="F308" s="182"/>
      <c r="G308" s="182"/>
      <c r="H308" s="182"/>
    </row>
    <row r="309" spans="1:8" ht="15.75" collapsed="1" x14ac:dyDescent="0.2">
      <c r="A309" s="286"/>
      <c r="B309" s="114"/>
      <c r="C309" s="114"/>
      <c r="D309" s="287"/>
      <c r="E309" s="236"/>
      <c r="F309" s="182"/>
      <c r="G309" s="182"/>
      <c r="H309" s="182"/>
    </row>
    <row r="310" spans="1:8" ht="15.75" x14ac:dyDescent="0.2">
      <c r="A310" s="286"/>
      <c r="B310" s="114"/>
      <c r="C310" s="114"/>
      <c r="D310" s="287"/>
      <c r="E310" s="236"/>
      <c r="F310" s="182"/>
      <c r="G310" s="182"/>
      <c r="H310" s="182"/>
    </row>
    <row r="311" spans="1:8" ht="15.75" x14ac:dyDescent="0.2">
      <c r="A311" s="286"/>
      <c r="B311" s="114"/>
      <c r="C311" s="114"/>
      <c r="D311" s="287"/>
      <c r="E311" s="236"/>
      <c r="F311" s="182"/>
      <c r="G311" s="182"/>
      <c r="H311" s="182"/>
    </row>
    <row r="312" spans="1:8" s="260" customFormat="1" ht="15.75" x14ac:dyDescent="0.2">
      <c r="A312" s="286" t="s">
        <v>259</v>
      </c>
      <c r="B312" s="114" t="s">
        <v>24</v>
      </c>
      <c r="C312" s="114" t="s">
        <v>25</v>
      </c>
      <c r="D312" s="235" t="s">
        <v>250</v>
      </c>
      <c r="E312" s="236">
        <v>1</v>
      </c>
      <c r="F312" s="259"/>
      <c r="G312" s="259"/>
      <c r="H312" s="259"/>
    </row>
    <row r="313" spans="1:8" s="260" customFormat="1" ht="25.5" x14ac:dyDescent="0.2">
      <c r="A313" s="234" t="s">
        <v>276</v>
      </c>
      <c r="B313" s="114" t="s">
        <v>139</v>
      </c>
      <c r="C313" s="114" t="s">
        <v>140</v>
      </c>
      <c r="D313" s="235" t="s">
        <v>250</v>
      </c>
      <c r="E313" s="236">
        <v>1</v>
      </c>
      <c r="F313" s="259"/>
      <c r="G313" s="259"/>
      <c r="H313" s="259"/>
    </row>
    <row r="314" spans="1:8" ht="15.75" x14ac:dyDescent="0.2">
      <c r="A314" s="234"/>
      <c r="B314" s="114"/>
      <c r="C314" s="248" t="s">
        <v>339</v>
      </c>
      <c r="D314" s="235"/>
      <c r="E314" s="236"/>
      <c r="F314" s="182"/>
      <c r="G314" s="182"/>
      <c r="H314" s="182"/>
    </row>
    <row r="315" spans="1:8" ht="25.5" x14ac:dyDescent="0.2">
      <c r="A315" s="249" t="s">
        <v>313</v>
      </c>
      <c r="B315" s="250" t="s">
        <v>342</v>
      </c>
      <c r="C315" s="250" t="s">
        <v>340</v>
      </c>
      <c r="D315" s="251" t="s">
        <v>262</v>
      </c>
      <c r="E315" s="247">
        <f>6243-E36-E51-E55-E62+312.2</f>
        <v>312.2</v>
      </c>
      <c r="F315" s="183" t="s">
        <v>967</v>
      </c>
      <c r="G315" s="182"/>
      <c r="H315" s="182"/>
    </row>
    <row r="316" spans="1:8" ht="25.5" x14ac:dyDescent="0.2">
      <c r="A316" s="249" t="s">
        <v>314</v>
      </c>
      <c r="B316" s="250" t="s">
        <v>345</v>
      </c>
      <c r="C316" s="250" t="s">
        <v>343</v>
      </c>
      <c r="D316" s="251" t="s">
        <v>262</v>
      </c>
      <c r="E316" s="247">
        <f>312.2+5865-E37-E52-E56-E63</f>
        <v>312.2</v>
      </c>
      <c r="F316" s="183" t="s">
        <v>967</v>
      </c>
      <c r="G316" s="182"/>
      <c r="H316" s="182"/>
    </row>
    <row r="317" spans="1:8" ht="15" x14ac:dyDescent="0.25">
      <c r="A317" s="207"/>
      <c r="B317" s="163"/>
      <c r="C317" s="164"/>
      <c r="D317" s="165"/>
      <c r="E317" s="166"/>
    </row>
    <row r="318" spans="1:8" ht="15" x14ac:dyDescent="0.25">
      <c r="A318" s="207"/>
      <c r="B318" s="163"/>
      <c r="C318" s="164"/>
      <c r="D318" s="165"/>
      <c r="E318" s="166"/>
    </row>
    <row r="319" spans="1:8" ht="15" x14ac:dyDescent="0.25">
      <c r="A319" s="207"/>
      <c r="B319" s="163"/>
      <c r="C319" s="164"/>
      <c r="D319" s="165"/>
      <c r="E319" s="166"/>
    </row>
    <row r="320" spans="1:8" ht="15" x14ac:dyDescent="0.25">
      <c r="A320" s="207"/>
      <c r="B320" s="163"/>
      <c r="C320" s="164"/>
      <c r="D320" s="165"/>
      <c r="E320" s="166"/>
    </row>
    <row r="321" spans="1:5" ht="15" x14ac:dyDescent="0.25">
      <c r="A321" s="207"/>
      <c r="B321" s="163"/>
      <c r="C321" s="164"/>
      <c r="D321" s="165"/>
      <c r="E321" s="166"/>
    </row>
    <row r="322" spans="1:5" ht="15" x14ac:dyDescent="0.25">
      <c r="A322" s="207"/>
      <c r="B322" s="163"/>
      <c r="C322" s="164"/>
      <c r="D322" s="165"/>
      <c r="E322" s="166"/>
    </row>
    <row r="323" spans="1:5" ht="15" x14ac:dyDescent="0.25">
      <c r="A323" s="207"/>
      <c r="B323" s="163"/>
      <c r="C323" s="164"/>
      <c r="D323" s="165"/>
      <c r="E323" s="166"/>
    </row>
    <row r="324" spans="1:5" x14ac:dyDescent="0.2">
      <c r="B324" t="s">
        <v>300</v>
      </c>
    </row>
    <row r="326" spans="1:5" x14ac:dyDescent="0.2">
      <c r="B326" t="s">
        <v>301</v>
      </c>
    </row>
  </sheetData>
  <mergeCells count="4">
    <mergeCell ref="A1:E1"/>
    <mergeCell ref="A2:E2"/>
    <mergeCell ref="F283:F284"/>
    <mergeCell ref="F105:F10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02"/>
  <sheetViews>
    <sheetView view="pageBreakPreview" topLeftCell="A26" zoomScaleNormal="100" zoomScaleSheetLayoutView="100" workbookViewId="0">
      <selection activeCell="C44" sqref="C44"/>
    </sheetView>
  </sheetViews>
  <sheetFormatPr defaultRowHeight="12.75" outlineLevelRow="3" x14ac:dyDescent="0.2"/>
  <cols>
    <col min="1" max="1" width="11.28515625" style="98" bestFit="1" customWidth="1"/>
    <col min="2" max="2" width="21.85546875" customWidth="1"/>
    <col min="3" max="3" width="54.42578125" customWidth="1"/>
    <col min="4" max="4" width="19" customWidth="1"/>
    <col min="5" max="5" width="14.85546875" style="167" customWidth="1"/>
    <col min="6" max="6" width="38.7109375" customWidth="1"/>
    <col min="7" max="7" width="15" bestFit="1" customWidth="1"/>
    <col min="9" max="9" width="14" customWidth="1"/>
    <col min="10" max="10" width="14.85546875" customWidth="1"/>
    <col min="11" max="11" width="12.85546875" customWidth="1"/>
  </cols>
  <sheetData>
    <row r="1" spans="1:11" ht="29.25" customHeight="1" x14ac:dyDescent="0.2">
      <c r="A1" s="602" t="s">
        <v>244</v>
      </c>
      <c r="B1" s="602"/>
      <c r="C1" s="602"/>
      <c r="D1" s="602"/>
      <c r="E1" s="602"/>
    </row>
    <row r="2" spans="1:11" ht="29.25" customHeight="1" x14ac:dyDescent="0.2">
      <c r="A2" s="683" t="s">
        <v>302</v>
      </c>
      <c r="B2" s="602"/>
      <c r="C2" s="602"/>
      <c r="D2" s="602"/>
      <c r="E2" s="602"/>
    </row>
    <row r="3" spans="1:11" ht="29.25" customHeight="1" x14ac:dyDescent="0.25">
      <c r="A3" s="205"/>
      <c r="B3" s="147"/>
      <c r="C3" s="147"/>
      <c r="D3" s="147"/>
      <c r="E3" s="148"/>
      <c r="I3" t="s">
        <v>962</v>
      </c>
    </row>
    <row r="4" spans="1:11" ht="184.9" customHeight="1" x14ac:dyDescent="0.2">
      <c r="A4" s="149" t="s">
        <v>1</v>
      </c>
      <c r="B4" s="149" t="s">
        <v>245</v>
      </c>
      <c r="C4" s="150" t="s">
        <v>246</v>
      </c>
      <c r="D4" s="175" t="s">
        <v>247</v>
      </c>
      <c r="E4" s="150" t="s">
        <v>248</v>
      </c>
      <c r="F4" s="150" t="s">
        <v>681</v>
      </c>
      <c r="G4" s="150" t="s">
        <v>728</v>
      </c>
      <c r="H4" s="150" t="s">
        <v>732</v>
      </c>
      <c r="I4" s="218" t="s">
        <v>963</v>
      </c>
      <c r="J4" s="218" t="s">
        <v>964</v>
      </c>
      <c r="K4" s="218" t="s">
        <v>965</v>
      </c>
    </row>
    <row r="5" spans="1:11" ht="15.75" x14ac:dyDescent="0.2">
      <c r="A5" s="149">
        <v>1</v>
      </c>
      <c r="B5" s="149">
        <v>2</v>
      </c>
      <c r="C5" s="149">
        <v>3</v>
      </c>
      <c r="D5" s="176">
        <v>4</v>
      </c>
      <c r="E5" s="151">
        <v>5</v>
      </c>
      <c r="F5" s="182"/>
      <c r="G5" s="182"/>
      <c r="H5" s="182"/>
    </row>
    <row r="6" spans="1:11" ht="22.15" customHeight="1" x14ac:dyDescent="0.2">
      <c r="A6" s="209">
        <v>1</v>
      </c>
      <c r="B6" s="152"/>
      <c r="C6" s="153" t="s">
        <v>249</v>
      </c>
      <c r="D6" s="177" t="s">
        <v>250</v>
      </c>
      <c r="E6" s="154">
        <v>1</v>
      </c>
      <c r="F6" s="182"/>
      <c r="G6" s="182"/>
      <c r="H6" s="182"/>
      <c r="I6" s="219">
        <v>44166</v>
      </c>
      <c r="J6" s="219">
        <v>44256</v>
      </c>
      <c r="K6">
        <f>J6-I6</f>
        <v>90</v>
      </c>
    </row>
    <row r="7" spans="1:11" ht="34.5" hidden="1" customHeight="1" outlineLevel="1" x14ac:dyDescent="0.2">
      <c r="A7" s="206" t="s">
        <v>251</v>
      </c>
      <c r="B7" s="155"/>
      <c r="C7" s="156" t="s">
        <v>252</v>
      </c>
      <c r="D7" s="178" t="s">
        <v>250</v>
      </c>
      <c r="E7" s="158">
        <v>1</v>
      </c>
      <c r="F7" s="182"/>
      <c r="G7" s="182"/>
      <c r="H7" s="182"/>
    </row>
    <row r="8" spans="1:11" ht="25.5" hidden="1" outlineLevel="1" x14ac:dyDescent="0.2">
      <c r="A8" s="211" t="s">
        <v>961</v>
      </c>
      <c r="B8" s="171" t="s">
        <v>70</v>
      </c>
      <c r="C8" s="171" t="s">
        <v>90</v>
      </c>
      <c r="D8" s="184"/>
      <c r="E8" s="185"/>
      <c r="F8" s="182"/>
      <c r="G8" s="182"/>
      <c r="H8" s="182"/>
    </row>
    <row r="9" spans="1:11" ht="32.450000000000003" customHeight="1" collapsed="1" x14ac:dyDescent="0.2">
      <c r="A9" s="210" t="s">
        <v>253</v>
      </c>
      <c r="B9" s="159"/>
      <c r="C9" s="153" t="s">
        <v>254</v>
      </c>
      <c r="D9" s="177" t="s">
        <v>250</v>
      </c>
      <c r="E9" s="154">
        <v>1</v>
      </c>
      <c r="F9" s="182"/>
      <c r="G9" s="182"/>
      <c r="H9" s="182"/>
    </row>
    <row r="10" spans="1:11" ht="15.75" customHeight="1" outlineLevel="1" x14ac:dyDescent="0.2">
      <c r="A10" s="206" t="s">
        <v>255</v>
      </c>
      <c r="B10" s="155"/>
      <c r="C10" s="156" t="s">
        <v>966</v>
      </c>
      <c r="D10" s="178" t="s">
        <v>250</v>
      </c>
      <c r="E10" s="158">
        <v>1</v>
      </c>
      <c r="F10" s="182"/>
      <c r="G10" s="182"/>
      <c r="H10" s="182"/>
      <c r="I10" s="219">
        <v>44287</v>
      </c>
      <c r="J10" s="219">
        <v>44348</v>
      </c>
      <c r="K10">
        <f>J10-I10</f>
        <v>61</v>
      </c>
    </row>
    <row r="11" spans="1:11" ht="33.75" hidden="1" customHeight="1" outlineLevel="2" x14ac:dyDescent="0.2">
      <c r="A11" s="191" t="s">
        <v>256</v>
      </c>
      <c r="B11" s="132" t="s">
        <v>20</v>
      </c>
      <c r="C11" s="160" t="s">
        <v>21</v>
      </c>
      <c r="D11" s="179" t="s">
        <v>262</v>
      </c>
      <c r="E11" s="168">
        <f>1483.2</f>
        <v>1483.2</v>
      </c>
      <c r="F11" s="182"/>
      <c r="G11" s="182"/>
      <c r="H11" s="182"/>
    </row>
    <row r="12" spans="1:11" ht="15.75" outlineLevel="1" collapsed="1" x14ac:dyDescent="0.2">
      <c r="A12" s="206"/>
      <c r="B12" s="155"/>
      <c r="C12" s="161" t="s">
        <v>258</v>
      </c>
      <c r="D12" s="178"/>
      <c r="E12" s="158"/>
      <c r="F12" s="182"/>
      <c r="G12" s="182"/>
      <c r="H12" s="182"/>
    </row>
    <row r="13" spans="1:11" ht="15.75" outlineLevel="1" x14ac:dyDescent="0.2">
      <c r="A13" s="206" t="s">
        <v>259</v>
      </c>
      <c r="B13" s="100" t="s">
        <v>24</v>
      </c>
      <c r="C13" s="100" t="s">
        <v>25</v>
      </c>
      <c r="D13" s="178" t="s">
        <v>250</v>
      </c>
      <c r="E13" s="158">
        <v>1</v>
      </c>
      <c r="F13" s="182"/>
      <c r="G13" s="182"/>
      <c r="H13" s="182"/>
    </row>
    <row r="14" spans="1:11" s="187" customFormat="1" ht="25.5" outlineLevel="2" x14ac:dyDescent="0.2">
      <c r="A14" s="208" t="s">
        <v>260</v>
      </c>
      <c r="B14" s="100" t="s">
        <v>137</v>
      </c>
      <c r="C14" s="100" t="s">
        <v>138</v>
      </c>
      <c r="D14" s="178" t="s">
        <v>250</v>
      </c>
      <c r="E14" s="158">
        <v>1</v>
      </c>
      <c r="F14" s="186"/>
      <c r="G14" s="186"/>
      <c r="H14" s="186"/>
    </row>
    <row r="15" spans="1:11" s="187" customFormat="1" ht="25.5" outlineLevel="3" x14ac:dyDescent="0.2">
      <c r="A15" s="191" t="s">
        <v>261</v>
      </c>
      <c r="B15" s="132" t="s">
        <v>303</v>
      </c>
      <c r="C15" s="132" t="s">
        <v>304</v>
      </c>
      <c r="D15" s="180" t="s">
        <v>305</v>
      </c>
      <c r="E15" s="162">
        <v>1</v>
      </c>
      <c r="F15" s="186"/>
      <c r="G15" s="162">
        <v>2550</v>
      </c>
      <c r="H15" s="186"/>
    </row>
    <row r="16" spans="1:11" s="187" customFormat="1" ht="15.75" outlineLevel="3" x14ac:dyDescent="0.2">
      <c r="A16" s="191"/>
      <c r="B16" s="132"/>
      <c r="C16" s="192" t="s">
        <v>726</v>
      </c>
      <c r="D16" s="180"/>
      <c r="E16" s="162"/>
      <c r="F16" s="190"/>
      <c r="G16" s="169"/>
      <c r="H16" s="186"/>
    </row>
    <row r="17" spans="1:8" s="187" customFormat="1" ht="60.75" customHeight="1" outlineLevel="3" x14ac:dyDescent="0.2">
      <c r="A17" s="191" t="s">
        <v>263</v>
      </c>
      <c r="B17" s="132" t="s">
        <v>307</v>
      </c>
      <c r="C17" s="132" t="s">
        <v>715</v>
      </c>
      <c r="D17" s="180" t="s">
        <v>305</v>
      </c>
      <c r="E17" s="162">
        <v>34</v>
      </c>
      <c r="F17" s="684" t="s">
        <v>727</v>
      </c>
      <c r="G17" s="173">
        <f>203.7</f>
        <v>203.7</v>
      </c>
      <c r="H17" s="186">
        <f>E17*G17</f>
        <v>6925.8</v>
      </c>
    </row>
    <row r="18" spans="1:8" s="187" customFormat="1" ht="54" customHeight="1" outlineLevel="3" x14ac:dyDescent="0.2">
      <c r="A18" s="191" t="s">
        <v>266</v>
      </c>
      <c r="B18" s="132" t="s">
        <v>307</v>
      </c>
      <c r="C18" s="132" t="s">
        <v>306</v>
      </c>
      <c r="D18" s="180" t="s">
        <v>305</v>
      </c>
      <c r="E18" s="162">
        <v>1</v>
      </c>
      <c r="F18" s="685"/>
      <c r="G18" s="173">
        <f>225.3</f>
        <v>225.3</v>
      </c>
      <c r="H18" s="186">
        <f>E18*G18</f>
        <v>225.3</v>
      </c>
    </row>
    <row r="19" spans="1:8" s="187" customFormat="1" ht="15.75" outlineLevel="3" x14ac:dyDescent="0.2">
      <c r="A19" s="191"/>
      <c r="B19" s="132"/>
      <c r="C19" s="192" t="s">
        <v>308</v>
      </c>
      <c r="D19" s="180"/>
      <c r="E19" s="162"/>
      <c r="F19" s="186"/>
      <c r="G19" s="186"/>
      <c r="H19" s="186"/>
    </row>
    <row r="20" spans="1:8" s="187" customFormat="1" ht="15.75" outlineLevel="3" x14ac:dyDescent="0.2">
      <c r="A20" s="191" t="s">
        <v>267</v>
      </c>
      <c r="B20" s="132" t="s">
        <v>310</v>
      </c>
      <c r="C20" s="132" t="s">
        <v>309</v>
      </c>
      <c r="D20" s="180" t="s">
        <v>305</v>
      </c>
      <c r="E20" s="162">
        <v>1</v>
      </c>
      <c r="F20" s="186"/>
      <c r="G20" s="162">
        <f>15000</f>
        <v>15000</v>
      </c>
      <c r="H20" s="186">
        <f>E20*G20</f>
        <v>15000</v>
      </c>
    </row>
    <row r="21" spans="1:8" s="187" customFormat="1" ht="51" outlineLevel="3" x14ac:dyDescent="0.2">
      <c r="A21" s="191"/>
      <c r="B21" s="132"/>
      <c r="C21" s="132" t="s">
        <v>720</v>
      </c>
      <c r="D21" s="180"/>
      <c r="E21" s="162"/>
      <c r="F21" s="189" t="s">
        <v>721</v>
      </c>
      <c r="G21" s="162">
        <f>9671</f>
        <v>9671</v>
      </c>
      <c r="H21" s="186"/>
    </row>
    <row r="22" spans="1:8" s="187" customFormat="1" ht="25.5" customHeight="1" outlineLevel="3" x14ac:dyDescent="0.2">
      <c r="A22" s="191" t="s">
        <v>268</v>
      </c>
      <c r="B22" s="132" t="s">
        <v>311</v>
      </c>
      <c r="C22" s="132" t="s">
        <v>716</v>
      </c>
      <c r="D22" s="180" t="s">
        <v>305</v>
      </c>
      <c r="E22" s="162">
        <v>1</v>
      </c>
      <c r="F22" s="686" t="s">
        <v>723</v>
      </c>
      <c r="G22" s="162">
        <f>550</f>
        <v>550</v>
      </c>
      <c r="H22" s="186">
        <f t="shared" ref="H22:H24" si="0">E22*G22</f>
        <v>550</v>
      </c>
    </row>
    <row r="23" spans="1:8" s="187" customFormat="1" ht="24" customHeight="1" outlineLevel="3" x14ac:dyDescent="0.2">
      <c r="A23" s="191" t="s">
        <v>269</v>
      </c>
      <c r="B23" s="132" t="s">
        <v>311</v>
      </c>
      <c r="C23" s="132" t="s">
        <v>717</v>
      </c>
      <c r="D23" s="180" t="s">
        <v>305</v>
      </c>
      <c r="E23" s="162">
        <v>1</v>
      </c>
      <c r="F23" s="687"/>
      <c r="G23" s="162">
        <f>566</f>
        <v>566</v>
      </c>
      <c r="H23" s="186">
        <f t="shared" si="0"/>
        <v>566</v>
      </c>
    </row>
    <row r="24" spans="1:8" s="187" customFormat="1" ht="63.75" outlineLevel="3" x14ac:dyDescent="0.2">
      <c r="A24" s="191" t="s">
        <v>270</v>
      </c>
      <c r="B24" s="132" t="s">
        <v>311</v>
      </c>
      <c r="C24" s="132" t="s">
        <v>719</v>
      </c>
      <c r="D24" s="180" t="s">
        <v>305</v>
      </c>
      <c r="E24" s="162">
        <v>1</v>
      </c>
      <c r="F24" s="189" t="s">
        <v>722</v>
      </c>
      <c r="G24" s="162">
        <f>7845</f>
        <v>7845</v>
      </c>
      <c r="H24" s="186">
        <f t="shared" si="0"/>
        <v>7845</v>
      </c>
    </row>
    <row r="25" spans="1:8" s="187" customFormat="1" ht="63.75" outlineLevel="3" x14ac:dyDescent="0.2">
      <c r="A25" s="191" t="s">
        <v>272</v>
      </c>
      <c r="B25" s="132" t="s">
        <v>311</v>
      </c>
      <c r="C25" s="132" t="s">
        <v>718</v>
      </c>
      <c r="D25" s="180" t="s">
        <v>305</v>
      </c>
      <c r="E25" s="162">
        <v>1</v>
      </c>
      <c r="F25" s="189" t="s">
        <v>724</v>
      </c>
      <c r="G25" s="162">
        <f>710</f>
        <v>710</v>
      </c>
      <c r="H25" s="186"/>
    </row>
    <row r="26" spans="1:8" s="187" customFormat="1" ht="15.75" outlineLevel="3" x14ac:dyDescent="0.2">
      <c r="A26" s="191"/>
      <c r="B26" s="132"/>
      <c r="C26" s="132" t="s">
        <v>731</v>
      </c>
      <c r="D26" s="180"/>
      <c r="E26" s="162"/>
      <c r="F26" s="186"/>
      <c r="G26" s="162">
        <f>3732</f>
        <v>3732</v>
      </c>
      <c r="H26" s="186"/>
    </row>
    <row r="27" spans="1:8" s="187" customFormat="1" ht="15.75" outlineLevel="3" x14ac:dyDescent="0.2">
      <c r="A27" s="191" t="s">
        <v>273</v>
      </c>
      <c r="B27" s="132" t="s">
        <v>264</v>
      </c>
      <c r="C27" s="132" t="s">
        <v>725</v>
      </c>
      <c r="D27" s="180" t="s">
        <v>305</v>
      </c>
      <c r="E27" s="162">
        <v>2</v>
      </c>
      <c r="F27" s="186"/>
      <c r="G27" s="162">
        <f>555</f>
        <v>555</v>
      </c>
      <c r="H27" s="186">
        <f>E27*G27</f>
        <v>1110</v>
      </c>
    </row>
    <row r="28" spans="1:8" s="187" customFormat="1" ht="15.75" outlineLevel="3" x14ac:dyDescent="0.2">
      <c r="A28" s="191" t="s">
        <v>274</v>
      </c>
      <c r="B28" s="132" t="s">
        <v>264</v>
      </c>
      <c r="C28" s="132" t="s">
        <v>729</v>
      </c>
      <c r="D28" s="180" t="s">
        <v>305</v>
      </c>
      <c r="E28" s="162">
        <v>1</v>
      </c>
      <c r="F28" s="186"/>
      <c r="G28" s="186">
        <v>600</v>
      </c>
      <c r="H28" s="193">
        <f>E28*G28</f>
        <v>600</v>
      </c>
    </row>
    <row r="29" spans="1:8" s="187" customFormat="1" ht="15.75" outlineLevel="3" x14ac:dyDescent="0.2">
      <c r="A29" s="191" t="s">
        <v>275</v>
      </c>
      <c r="B29" s="132" t="s">
        <v>264</v>
      </c>
      <c r="C29" s="132" t="s">
        <v>730</v>
      </c>
      <c r="D29" s="180" t="s">
        <v>305</v>
      </c>
      <c r="E29" s="162">
        <v>1</v>
      </c>
      <c r="F29" s="186"/>
      <c r="G29" s="186">
        <v>2022</v>
      </c>
      <c r="H29" s="193">
        <f>E29*G29</f>
        <v>2022</v>
      </c>
    </row>
    <row r="30" spans="1:8" s="187" customFormat="1" ht="15.75" outlineLevel="3" x14ac:dyDescent="0.2">
      <c r="A30" s="191"/>
      <c r="B30" s="132"/>
      <c r="C30" s="192" t="s">
        <v>316</v>
      </c>
      <c r="D30" s="180"/>
      <c r="E30" s="162"/>
      <c r="F30" s="186"/>
      <c r="G30" s="186"/>
      <c r="H30" s="186"/>
    </row>
    <row r="31" spans="1:8" s="187" customFormat="1" ht="15.75" outlineLevel="3" x14ac:dyDescent="0.2">
      <c r="A31" s="191" t="s">
        <v>733</v>
      </c>
      <c r="B31" s="132" t="s">
        <v>318</v>
      </c>
      <c r="C31" s="132" t="s">
        <v>317</v>
      </c>
      <c r="D31" s="180" t="s">
        <v>305</v>
      </c>
      <c r="E31" s="162">
        <v>1</v>
      </c>
      <c r="F31" s="186"/>
      <c r="G31" s="162">
        <v>11414</v>
      </c>
      <c r="H31" s="193">
        <f>E31*G31</f>
        <v>11414</v>
      </c>
    </row>
    <row r="32" spans="1:8" s="187" customFormat="1" ht="47.25" customHeight="1" outlineLevel="3" x14ac:dyDescent="0.2">
      <c r="A32" s="191" t="s">
        <v>734</v>
      </c>
      <c r="B32" s="132" t="s">
        <v>321</v>
      </c>
      <c r="C32" s="132" t="s">
        <v>322</v>
      </c>
      <c r="D32" s="180" t="s">
        <v>305</v>
      </c>
      <c r="E32" s="162">
        <v>1</v>
      </c>
      <c r="F32" s="189" t="s">
        <v>735</v>
      </c>
      <c r="G32" s="186">
        <v>7845</v>
      </c>
      <c r="H32" s="186">
        <f>E32*G32</f>
        <v>7845</v>
      </c>
    </row>
    <row r="33" spans="1:8" ht="15.75" outlineLevel="3" x14ac:dyDescent="0.2">
      <c r="A33" s="208"/>
      <c r="B33" s="100"/>
      <c r="C33" s="192" t="s">
        <v>323</v>
      </c>
      <c r="D33" s="178"/>
      <c r="E33" s="158"/>
      <c r="F33" s="182"/>
      <c r="G33" s="182"/>
      <c r="H33" s="182"/>
    </row>
    <row r="34" spans="1:8" ht="15.75" outlineLevel="3" x14ac:dyDescent="0.2">
      <c r="A34" s="191" t="s">
        <v>736</v>
      </c>
      <c r="B34" s="132" t="s">
        <v>327</v>
      </c>
      <c r="C34" s="132" t="s">
        <v>737</v>
      </c>
      <c r="D34" s="180" t="s">
        <v>305</v>
      </c>
      <c r="E34" s="162">
        <v>1</v>
      </c>
      <c r="F34" s="186"/>
      <c r="G34" s="194">
        <v>1104</v>
      </c>
      <c r="H34" s="186">
        <f>E34*G34</f>
        <v>1104</v>
      </c>
    </row>
    <row r="35" spans="1:8" ht="15.75" outlineLevel="3" x14ac:dyDescent="0.2">
      <c r="A35" s="191" t="s">
        <v>742</v>
      </c>
      <c r="B35" s="132" t="s">
        <v>327</v>
      </c>
      <c r="C35" s="132" t="s">
        <v>738</v>
      </c>
      <c r="D35" s="180" t="s">
        <v>305</v>
      </c>
      <c r="E35" s="162">
        <v>1</v>
      </c>
      <c r="F35" s="186"/>
      <c r="G35" s="194">
        <v>1999</v>
      </c>
      <c r="H35" s="186">
        <f t="shared" ref="H35:H41" si="1">E35*G35</f>
        <v>1999</v>
      </c>
    </row>
    <row r="36" spans="1:8" ht="15.75" outlineLevel="3" x14ac:dyDescent="0.2">
      <c r="A36" s="191" t="s">
        <v>743</v>
      </c>
      <c r="B36" s="132" t="s">
        <v>327</v>
      </c>
      <c r="C36" s="132" t="s">
        <v>739</v>
      </c>
      <c r="D36" s="180" t="s">
        <v>305</v>
      </c>
      <c r="E36" s="162">
        <v>1</v>
      </c>
      <c r="F36" s="186"/>
      <c r="G36" s="194">
        <v>2703</v>
      </c>
      <c r="H36" s="186">
        <f t="shared" si="1"/>
        <v>2703</v>
      </c>
    </row>
    <row r="37" spans="1:8" ht="15.75" outlineLevel="3" x14ac:dyDescent="0.2">
      <c r="A37" s="191" t="s">
        <v>744</v>
      </c>
      <c r="B37" s="132" t="s">
        <v>327</v>
      </c>
      <c r="C37" s="132" t="s">
        <v>740</v>
      </c>
      <c r="D37" s="180" t="s">
        <v>305</v>
      </c>
      <c r="E37" s="162">
        <v>1</v>
      </c>
      <c r="F37" s="186"/>
      <c r="G37" s="194">
        <v>2442</v>
      </c>
      <c r="H37" s="186">
        <f t="shared" si="1"/>
        <v>2442</v>
      </c>
    </row>
    <row r="38" spans="1:8" ht="25.5" outlineLevel="3" x14ac:dyDescent="0.2">
      <c r="A38" s="191" t="s">
        <v>745</v>
      </c>
      <c r="B38" s="132" t="s">
        <v>325</v>
      </c>
      <c r="C38" s="132" t="s">
        <v>328</v>
      </c>
      <c r="D38" s="180" t="s">
        <v>305</v>
      </c>
      <c r="E38" s="162">
        <v>8</v>
      </c>
      <c r="F38" s="189" t="s">
        <v>741</v>
      </c>
      <c r="G38" s="194">
        <v>1000</v>
      </c>
      <c r="H38" s="186">
        <f t="shared" si="1"/>
        <v>8000</v>
      </c>
    </row>
    <row r="39" spans="1:8" ht="15.75" outlineLevel="3" x14ac:dyDescent="0.2">
      <c r="A39" s="191" t="s">
        <v>746</v>
      </c>
      <c r="B39" s="132" t="s">
        <v>325</v>
      </c>
      <c r="C39" s="132" t="s">
        <v>329</v>
      </c>
      <c r="D39" s="180" t="s">
        <v>305</v>
      </c>
      <c r="E39" s="162">
        <v>8</v>
      </c>
      <c r="F39" s="186"/>
      <c r="G39" s="194">
        <v>1300</v>
      </c>
      <c r="H39" s="186">
        <f t="shared" si="1"/>
        <v>10400</v>
      </c>
    </row>
    <row r="40" spans="1:8" ht="15.75" outlineLevel="3" x14ac:dyDescent="0.2">
      <c r="A40" s="191" t="s">
        <v>747</v>
      </c>
      <c r="B40" s="132" t="s">
        <v>325</v>
      </c>
      <c r="C40" s="132" t="s">
        <v>330</v>
      </c>
      <c r="D40" s="180" t="s">
        <v>305</v>
      </c>
      <c r="E40" s="162">
        <v>4</v>
      </c>
      <c r="F40" s="186"/>
      <c r="G40" s="194">
        <v>5200</v>
      </c>
      <c r="H40" s="186">
        <f t="shared" si="1"/>
        <v>20800</v>
      </c>
    </row>
    <row r="41" spans="1:8" ht="15.75" outlineLevel="3" x14ac:dyDescent="0.2">
      <c r="A41" s="191" t="s">
        <v>748</v>
      </c>
      <c r="B41" s="132" t="s">
        <v>325</v>
      </c>
      <c r="C41" s="132" t="s">
        <v>331</v>
      </c>
      <c r="D41" s="180" t="s">
        <v>305</v>
      </c>
      <c r="E41" s="162">
        <v>4</v>
      </c>
      <c r="F41" s="186"/>
      <c r="G41" s="194">
        <v>2400</v>
      </c>
      <c r="H41" s="186">
        <f t="shared" si="1"/>
        <v>9600</v>
      </c>
    </row>
    <row r="42" spans="1:8" ht="25.5" outlineLevel="2" x14ac:dyDescent="0.2">
      <c r="A42" s="208" t="s">
        <v>276</v>
      </c>
      <c r="B42" s="100" t="s">
        <v>139</v>
      </c>
      <c r="C42" s="100" t="s">
        <v>140</v>
      </c>
      <c r="D42" s="178" t="s">
        <v>250</v>
      </c>
      <c r="E42" s="158">
        <v>1</v>
      </c>
      <c r="F42" s="182"/>
      <c r="G42" s="182"/>
      <c r="H42" s="182"/>
    </row>
    <row r="43" spans="1:8" ht="15.75" outlineLevel="3" x14ac:dyDescent="0.2">
      <c r="A43" s="208"/>
      <c r="B43" s="100"/>
      <c r="C43" s="192" t="s">
        <v>339</v>
      </c>
      <c r="D43" s="178"/>
      <c r="E43" s="158"/>
      <c r="F43" s="182"/>
      <c r="G43" s="182"/>
      <c r="H43" s="182"/>
    </row>
    <row r="44" spans="1:8" ht="25.5" outlineLevel="3" x14ac:dyDescent="0.2">
      <c r="A44" s="191" t="s">
        <v>312</v>
      </c>
      <c r="B44" s="132" t="s">
        <v>341</v>
      </c>
      <c r="C44" s="132" t="s">
        <v>265</v>
      </c>
      <c r="D44" s="180" t="s">
        <v>262</v>
      </c>
      <c r="E44" s="162">
        <v>6243</v>
      </c>
      <c r="F44" s="182"/>
      <c r="G44" s="182"/>
      <c r="H44" s="182"/>
    </row>
    <row r="45" spans="1:8" ht="15.75" outlineLevel="3" x14ac:dyDescent="0.2">
      <c r="A45" s="191" t="s">
        <v>313</v>
      </c>
      <c r="B45" s="132" t="s">
        <v>342</v>
      </c>
      <c r="C45" s="132" t="s">
        <v>340</v>
      </c>
      <c r="D45" s="180" t="s">
        <v>262</v>
      </c>
      <c r="E45" s="162">
        <f>6243+312.2</f>
        <v>6555</v>
      </c>
      <c r="F45" s="182"/>
      <c r="G45" s="182"/>
      <c r="H45" s="182"/>
    </row>
    <row r="46" spans="1:8" ht="15.75" outlineLevel="3" x14ac:dyDescent="0.2">
      <c r="A46" s="191" t="s">
        <v>314</v>
      </c>
      <c r="B46" s="132" t="s">
        <v>345</v>
      </c>
      <c r="C46" s="132" t="s">
        <v>343</v>
      </c>
      <c r="D46" s="180" t="s">
        <v>262</v>
      </c>
      <c r="E46" s="162">
        <f>312.2+5865</f>
        <v>6177</v>
      </c>
      <c r="F46" s="182" t="s">
        <v>344</v>
      </c>
      <c r="G46" s="182"/>
      <c r="H46" s="182"/>
    </row>
    <row r="47" spans="1:8" ht="15.75" outlineLevel="3" x14ac:dyDescent="0.2">
      <c r="A47" s="191" t="s">
        <v>749</v>
      </c>
      <c r="B47" s="132" t="s">
        <v>753</v>
      </c>
      <c r="C47" s="132" t="s">
        <v>346</v>
      </c>
      <c r="D47" s="180" t="s">
        <v>305</v>
      </c>
      <c r="E47" s="162">
        <v>1</v>
      </c>
      <c r="F47" s="182" t="s">
        <v>351</v>
      </c>
      <c r="G47" s="182"/>
      <c r="H47" s="182"/>
    </row>
    <row r="48" spans="1:8" ht="15.75" outlineLevel="3" x14ac:dyDescent="0.2">
      <c r="A48" s="191" t="s">
        <v>750</v>
      </c>
      <c r="B48" s="132" t="s">
        <v>754</v>
      </c>
      <c r="C48" s="132" t="s">
        <v>347</v>
      </c>
      <c r="D48" s="180" t="s">
        <v>305</v>
      </c>
      <c r="E48" s="162">
        <v>1</v>
      </c>
      <c r="F48" s="182" t="s">
        <v>350</v>
      </c>
      <c r="G48" s="182"/>
      <c r="H48" s="182"/>
    </row>
    <row r="49" spans="1:8" ht="15.75" outlineLevel="3" x14ac:dyDescent="0.2">
      <c r="A49" s="191" t="s">
        <v>751</v>
      </c>
      <c r="B49" s="132" t="s">
        <v>755</v>
      </c>
      <c r="C49" s="132" t="s">
        <v>348</v>
      </c>
      <c r="D49" s="180" t="s">
        <v>305</v>
      </c>
      <c r="E49" s="162">
        <v>1</v>
      </c>
      <c r="F49" s="182" t="s">
        <v>349</v>
      </c>
      <c r="G49" s="182"/>
      <c r="H49" s="182"/>
    </row>
    <row r="50" spans="1:8" ht="15.75" outlineLevel="3" x14ac:dyDescent="0.2">
      <c r="A50" s="191" t="s">
        <v>752</v>
      </c>
      <c r="B50" s="132" t="s">
        <v>756</v>
      </c>
      <c r="C50" s="132" t="s">
        <v>352</v>
      </c>
      <c r="D50" s="180" t="s">
        <v>305</v>
      </c>
      <c r="E50" s="162">
        <v>1</v>
      </c>
      <c r="F50" s="182"/>
      <c r="G50" s="182"/>
      <c r="H50" s="182"/>
    </row>
    <row r="51" spans="1:8" ht="15.75" outlineLevel="2" x14ac:dyDescent="0.2">
      <c r="A51" s="208" t="s">
        <v>315</v>
      </c>
      <c r="B51" s="100" t="s">
        <v>141</v>
      </c>
      <c r="C51" s="100" t="s">
        <v>142</v>
      </c>
      <c r="D51" s="178" t="s">
        <v>250</v>
      </c>
      <c r="E51" s="158">
        <v>1</v>
      </c>
      <c r="F51" s="183" t="s">
        <v>362</v>
      </c>
      <c r="G51" s="182"/>
      <c r="H51" s="182"/>
    </row>
    <row r="52" spans="1:8" ht="15.75" outlineLevel="3" x14ac:dyDescent="0.2">
      <c r="A52" s="191"/>
      <c r="B52" s="132"/>
      <c r="C52" s="192" t="s">
        <v>279</v>
      </c>
      <c r="D52" s="180"/>
      <c r="E52" s="162"/>
      <c r="F52" s="182"/>
      <c r="G52" s="182"/>
      <c r="H52" s="182"/>
    </row>
    <row r="53" spans="1:8" ht="25.5" outlineLevel="3" x14ac:dyDescent="0.2">
      <c r="A53" s="191" t="s">
        <v>319</v>
      </c>
      <c r="B53" s="132" t="s">
        <v>353</v>
      </c>
      <c r="C53" s="132" t="s">
        <v>265</v>
      </c>
      <c r="D53" s="180" t="s">
        <v>262</v>
      </c>
      <c r="E53" s="162">
        <v>88</v>
      </c>
      <c r="F53" s="186"/>
      <c r="G53" s="182"/>
      <c r="H53" s="182"/>
    </row>
    <row r="54" spans="1:8" ht="15.75" outlineLevel="3" x14ac:dyDescent="0.2">
      <c r="A54" s="191" t="s">
        <v>320</v>
      </c>
      <c r="B54" s="132" t="s">
        <v>355</v>
      </c>
      <c r="C54" s="132" t="s">
        <v>340</v>
      </c>
      <c r="D54" s="180" t="s">
        <v>262</v>
      </c>
      <c r="E54" s="173">
        <f>61.6</f>
        <v>61.6</v>
      </c>
      <c r="F54" s="186"/>
      <c r="G54" s="182"/>
      <c r="H54" s="182"/>
    </row>
    <row r="55" spans="1:8" ht="15.75" outlineLevel="3" x14ac:dyDescent="0.2">
      <c r="A55" s="191" t="s">
        <v>757</v>
      </c>
      <c r="B55" s="132" t="s">
        <v>356</v>
      </c>
      <c r="C55" s="132" t="s">
        <v>354</v>
      </c>
      <c r="D55" s="180" t="s">
        <v>262</v>
      </c>
      <c r="E55" s="173">
        <f>26.4</f>
        <v>26.4</v>
      </c>
      <c r="F55" s="186"/>
      <c r="G55" s="182"/>
      <c r="H55" s="182"/>
    </row>
    <row r="56" spans="1:8" ht="15.75" outlineLevel="3" x14ac:dyDescent="0.2">
      <c r="A56" s="191" t="s">
        <v>758</v>
      </c>
      <c r="B56" s="132" t="s">
        <v>357</v>
      </c>
      <c r="C56" s="132" t="s">
        <v>343</v>
      </c>
      <c r="D56" s="180" t="s">
        <v>262</v>
      </c>
      <c r="E56" s="173">
        <f>26.4</f>
        <v>26.4</v>
      </c>
      <c r="F56" s="186"/>
      <c r="G56" s="182"/>
      <c r="H56" s="182"/>
    </row>
    <row r="57" spans="1:8" ht="25.5" outlineLevel="3" x14ac:dyDescent="0.2">
      <c r="A57" s="191" t="s">
        <v>759</v>
      </c>
      <c r="B57" s="132" t="s">
        <v>360</v>
      </c>
      <c r="C57" s="132" t="s">
        <v>358</v>
      </c>
      <c r="D57" s="180" t="s">
        <v>363</v>
      </c>
      <c r="E57" s="162">
        <v>27</v>
      </c>
      <c r="F57" s="186"/>
      <c r="G57" s="182"/>
      <c r="H57" s="182"/>
    </row>
    <row r="58" spans="1:8" ht="25.5" outlineLevel="3" x14ac:dyDescent="0.2">
      <c r="A58" s="191" t="s">
        <v>760</v>
      </c>
      <c r="B58" s="132" t="s">
        <v>361</v>
      </c>
      <c r="C58" s="132" t="s">
        <v>359</v>
      </c>
      <c r="D58" s="180" t="s">
        <v>363</v>
      </c>
      <c r="E58" s="162">
        <v>36</v>
      </c>
      <c r="F58" s="186"/>
      <c r="G58" s="182"/>
      <c r="H58" s="182"/>
    </row>
    <row r="59" spans="1:8" ht="15.75" outlineLevel="3" x14ac:dyDescent="0.2">
      <c r="A59" s="191"/>
      <c r="B59" s="132"/>
      <c r="C59" s="192" t="s">
        <v>364</v>
      </c>
      <c r="D59" s="180"/>
      <c r="E59" s="162"/>
      <c r="F59" s="186"/>
      <c r="G59" s="182"/>
      <c r="H59" s="182"/>
    </row>
    <row r="60" spans="1:8" ht="25.5" outlineLevel="3" x14ac:dyDescent="0.2">
      <c r="A60" s="191" t="s">
        <v>761</v>
      </c>
      <c r="B60" s="132" t="s">
        <v>365</v>
      </c>
      <c r="C60" s="132" t="s">
        <v>764</v>
      </c>
      <c r="D60" s="180" t="s">
        <v>363</v>
      </c>
      <c r="E60" s="162">
        <v>60</v>
      </c>
      <c r="F60" s="186"/>
      <c r="G60" s="182"/>
      <c r="H60" s="182"/>
    </row>
    <row r="61" spans="1:8" ht="25.5" outlineLevel="3" x14ac:dyDescent="0.2">
      <c r="A61" s="191" t="s">
        <v>762</v>
      </c>
      <c r="B61" s="132" t="s">
        <v>366</v>
      </c>
      <c r="C61" s="132" t="s">
        <v>765</v>
      </c>
      <c r="D61" s="180" t="s">
        <v>363</v>
      </c>
      <c r="E61" s="162">
        <v>100</v>
      </c>
      <c r="F61" s="186"/>
      <c r="G61" s="182"/>
      <c r="H61" s="182"/>
    </row>
    <row r="62" spans="1:8" ht="25.5" outlineLevel="3" x14ac:dyDescent="0.2">
      <c r="A62" s="191" t="s">
        <v>763</v>
      </c>
      <c r="B62" s="132" t="s">
        <v>368</v>
      </c>
      <c r="C62" s="132" t="s">
        <v>367</v>
      </c>
      <c r="D62" s="180" t="s">
        <v>363</v>
      </c>
      <c r="E62" s="162">
        <v>220</v>
      </c>
      <c r="F62" s="186"/>
      <c r="G62" s="182"/>
      <c r="H62" s="182"/>
    </row>
    <row r="63" spans="1:8" s="196" customFormat="1" ht="25.5" outlineLevel="2" x14ac:dyDescent="0.2">
      <c r="A63" s="208" t="s">
        <v>324</v>
      </c>
      <c r="B63" s="100" t="s">
        <v>143</v>
      </c>
      <c r="C63" s="100" t="s">
        <v>144</v>
      </c>
      <c r="D63" s="178" t="s">
        <v>250</v>
      </c>
      <c r="E63" s="158">
        <v>1</v>
      </c>
      <c r="F63" s="195"/>
      <c r="G63" s="195"/>
      <c r="H63" s="195"/>
    </row>
    <row r="64" spans="1:8" s="187" customFormat="1" ht="15.75" outlineLevel="3" x14ac:dyDescent="0.2">
      <c r="A64" s="191" t="s">
        <v>326</v>
      </c>
      <c r="B64" s="132" t="s">
        <v>370</v>
      </c>
      <c r="C64" s="132" t="s">
        <v>369</v>
      </c>
      <c r="D64" s="180" t="s">
        <v>305</v>
      </c>
      <c r="E64" s="162">
        <v>4</v>
      </c>
      <c r="F64" s="186"/>
      <c r="G64" s="186"/>
      <c r="H64" s="186"/>
    </row>
    <row r="65" spans="1:8" s="187" customFormat="1" ht="25.5" outlineLevel="3" x14ac:dyDescent="0.2">
      <c r="A65" s="191" t="s">
        <v>332</v>
      </c>
      <c r="B65" s="132" t="s">
        <v>372</v>
      </c>
      <c r="C65" s="132" t="s">
        <v>371</v>
      </c>
      <c r="D65" s="180" t="s">
        <v>305</v>
      </c>
      <c r="E65" s="162">
        <v>8</v>
      </c>
      <c r="F65" s="186"/>
      <c r="G65" s="186"/>
      <c r="H65" s="186"/>
    </row>
    <row r="66" spans="1:8" s="187" customFormat="1" ht="15.75" outlineLevel="3" x14ac:dyDescent="0.2">
      <c r="A66" s="191" t="s">
        <v>333</v>
      </c>
      <c r="B66" s="132" t="s">
        <v>374</v>
      </c>
      <c r="C66" s="132" t="s">
        <v>373</v>
      </c>
      <c r="D66" s="180" t="s">
        <v>305</v>
      </c>
      <c r="E66" s="162">
        <v>4</v>
      </c>
      <c r="F66" s="186"/>
      <c r="G66" s="186"/>
      <c r="H66" s="186"/>
    </row>
    <row r="67" spans="1:8" s="187" customFormat="1" ht="25.5" outlineLevel="3" x14ac:dyDescent="0.2">
      <c r="A67" s="191" t="s">
        <v>334</v>
      </c>
      <c r="B67" s="132" t="s">
        <v>376</v>
      </c>
      <c r="C67" s="132" t="s">
        <v>375</v>
      </c>
      <c r="D67" s="180" t="s">
        <v>305</v>
      </c>
      <c r="E67" s="162">
        <v>4</v>
      </c>
      <c r="F67" s="186"/>
      <c r="G67" s="186"/>
      <c r="H67" s="186"/>
    </row>
    <row r="68" spans="1:8" s="187" customFormat="1" ht="25.5" outlineLevel="3" x14ac:dyDescent="0.2">
      <c r="A68" s="191" t="s">
        <v>335</v>
      </c>
      <c r="B68" s="132" t="s">
        <v>378</v>
      </c>
      <c r="C68" s="132" t="s">
        <v>377</v>
      </c>
      <c r="D68" s="180" t="s">
        <v>305</v>
      </c>
      <c r="E68" s="162">
        <v>4</v>
      </c>
      <c r="F68" s="186"/>
      <c r="G68" s="186"/>
      <c r="H68" s="186"/>
    </row>
    <row r="69" spans="1:8" s="187" customFormat="1" ht="25.5" outlineLevel="3" x14ac:dyDescent="0.2">
      <c r="A69" s="191" t="s">
        <v>336</v>
      </c>
      <c r="B69" s="132" t="s">
        <v>380</v>
      </c>
      <c r="C69" s="132" t="s">
        <v>379</v>
      </c>
      <c r="D69" s="180" t="s">
        <v>305</v>
      </c>
      <c r="E69" s="162">
        <v>8</v>
      </c>
      <c r="F69" s="186"/>
      <c r="G69" s="186"/>
      <c r="H69" s="186"/>
    </row>
    <row r="70" spans="1:8" s="187" customFormat="1" ht="25.5" outlineLevel="3" x14ac:dyDescent="0.2">
      <c r="A70" s="191" t="s">
        <v>337</v>
      </c>
      <c r="B70" s="132" t="s">
        <v>382</v>
      </c>
      <c r="C70" s="132" t="s">
        <v>381</v>
      </c>
      <c r="D70" s="180" t="s">
        <v>305</v>
      </c>
      <c r="E70" s="162">
        <v>12</v>
      </c>
      <c r="F70" s="186"/>
      <c r="G70" s="186"/>
      <c r="H70" s="186"/>
    </row>
    <row r="71" spans="1:8" s="187" customFormat="1" ht="15.75" outlineLevel="3" x14ac:dyDescent="0.2">
      <c r="A71" s="191" t="s">
        <v>338</v>
      </c>
      <c r="B71" s="132" t="s">
        <v>386</v>
      </c>
      <c r="C71" s="132" t="s">
        <v>383</v>
      </c>
      <c r="D71" s="180" t="s">
        <v>305</v>
      </c>
      <c r="E71" s="162">
        <v>4</v>
      </c>
      <c r="F71" s="186"/>
      <c r="G71" s="186"/>
      <c r="H71" s="186"/>
    </row>
    <row r="72" spans="1:8" s="187" customFormat="1" ht="38.25" outlineLevel="3" x14ac:dyDescent="0.2">
      <c r="A72" s="197" t="s">
        <v>766</v>
      </c>
      <c r="B72" s="198" t="s">
        <v>385</v>
      </c>
      <c r="C72" s="198" t="s">
        <v>384</v>
      </c>
      <c r="D72" s="199" t="s">
        <v>305</v>
      </c>
      <c r="E72" s="200">
        <v>4</v>
      </c>
      <c r="F72" s="189" t="s">
        <v>408</v>
      </c>
      <c r="G72" s="186"/>
      <c r="H72" s="186"/>
    </row>
    <row r="73" spans="1:8" s="187" customFormat="1" ht="25.5" outlineLevel="3" x14ac:dyDescent="0.2">
      <c r="A73" s="191" t="s">
        <v>767</v>
      </c>
      <c r="B73" s="132" t="s">
        <v>388</v>
      </c>
      <c r="C73" s="132" t="s">
        <v>387</v>
      </c>
      <c r="D73" s="180" t="s">
        <v>305</v>
      </c>
      <c r="E73" s="162">
        <v>20</v>
      </c>
      <c r="F73" s="186"/>
      <c r="G73" s="186"/>
      <c r="H73" s="186"/>
    </row>
    <row r="74" spans="1:8" s="187" customFormat="1" ht="15.75" outlineLevel="3" x14ac:dyDescent="0.2">
      <c r="A74" s="191" t="s">
        <v>768</v>
      </c>
      <c r="B74" s="132" t="s">
        <v>391</v>
      </c>
      <c r="C74" s="132" t="s">
        <v>389</v>
      </c>
      <c r="D74" s="180" t="s">
        <v>305</v>
      </c>
      <c r="E74" s="162">
        <v>4</v>
      </c>
      <c r="F74" s="186"/>
      <c r="G74" s="186"/>
      <c r="H74" s="186"/>
    </row>
    <row r="75" spans="1:8" s="187" customFormat="1" ht="15.75" outlineLevel="3" x14ac:dyDescent="0.2">
      <c r="A75" s="191" t="s">
        <v>769</v>
      </c>
      <c r="B75" s="132" t="s">
        <v>392</v>
      </c>
      <c r="C75" s="132" t="s">
        <v>390</v>
      </c>
      <c r="D75" s="180" t="s">
        <v>305</v>
      </c>
      <c r="E75" s="162">
        <v>4</v>
      </c>
      <c r="F75" s="186"/>
      <c r="G75" s="186"/>
      <c r="H75" s="186"/>
    </row>
    <row r="76" spans="1:8" s="187" customFormat="1" ht="15.75" outlineLevel="3" x14ac:dyDescent="0.2">
      <c r="A76" s="191" t="s">
        <v>770</v>
      </c>
      <c r="B76" s="132" t="s">
        <v>394</v>
      </c>
      <c r="C76" s="132" t="s">
        <v>393</v>
      </c>
      <c r="D76" s="180" t="s">
        <v>305</v>
      </c>
      <c r="E76" s="162">
        <v>4</v>
      </c>
      <c r="F76" s="186"/>
      <c r="G76" s="186"/>
      <c r="H76" s="186"/>
    </row>
    <row r="77" spans="1:8" s="187" customFormat="1" ht="25.5" outlineLevel="3" x14ac:dyDescent="0.2">
      <c r="A77" s="191" t="s">
        <v>771</v>
      </c>
      <c r="B77" s="132" t="s">
        <v>396</v>
      </c>
      <c r="C77" s="132" t="s">
        <v>395</v>
      </c>
      <c r="D77" s="180" t="s">
        <v>305</v>
      </c>
      <c r="E77" s="162">
        <v>4</v>
      </c>
      <c r="F77" s="186"/>
      <c r="G77" s="186"/>
      <c r="H77" s="186"/>
    </row>
    <row r="78" spans="1:8" s="187" customFormat="1" ht="25.5" outlineLevel="3" x14ac:dyDescent="0.2">
      <c r="A78" s="191" t="s">
        <v>772</v>
      </c>
      <c r="B78" s="132" t="s">
        <v>398</v>
      </c>
      <c r="C78" s="132" t="s">
        <v>397</v>
      </c>
      <c r="D78" s="180" t="s">
        <v>305</v>
      </c>
      <c r="E78" s="162">
        <v>4</v>
      </c>
      <c r="F78" s="186" t="s">
        <v>403</v>
      </c>
      <c r="G78" s="186"/>
      <c r="H78" s="186"/>
    </row>
    <row r="79" spans="1:8" s="187" customFormat="1" ht="15.75" outlineLevel="3" x14ac:dyDescent="0.2">
      <c r="A79" s="191" t="s">
        <v>773</v>
      </c>
      <c r="B79" s="132" t="s">
        <v>400</v>
      </c>
      <c r="C79" s="132" t="s">
        <v>399</v>
      </c>
      <c r="D79" s="180" t="s">
        <v>305</v>
      </c>
      <c r="E79" s="162">
        <v>4</v>
      </c>
      <c r="F79" s="186"/>
      <c r="G79" s="186"/>
      <c r="H79" s="186"/>
    </row>
    <row r="80" spans="1:8" s="187" customFormat="1" ht="15.75" outlineLevel="3" x14ac:dyDescent="0.2">
      <c r="A80" s="191" t="s">
        <v>774</v>
      </c>
      <c r="B80" s="132" t="s">
        <v>402</v>
      </c>
      <c r="C80" s="132" t="s">
        <v>401</v>
      </c>
      <c r="D80" s="180" t="s">
        <v>363</v>
      </c>
      <c r="E80" s="162">
        <v>550</v>
      </c>
      <c r="F80" s="186"/>
      <c r="G80" s="186"/>
      <c r="H80" s="186"/>
    </row>
    <row r="81" spans="1:8" s="187" customFormat="1" ht="25.5" outlineLevel="3" x14ac:dyDescent="0.2">
      <c r="A81" s="191" t="s">
        <v>775</v>
      </c>
      <c r="B81" s="132" t="s">
        <v>405</v>
      </c>
      <c r="C81" s="132" t="s">
        <v>404</v>
      </c>
      <c r="D81" s="180" t="s">
        <v>363</v>
      </c>
      <c r="E81" s="162">
        <v>200</v>
      </c>
      <c r="F81" s="186"/>
      <c r="G81" s="186"/>
      <c r="H81" s="186"/>
    </row>
    <row r="82" spans="1:8" s="187" customFormat="1" ht="15.75" outlineLevel="3" x14ac:dyDescent="0.2">
      <c r="A82" s="191" t="s">
        <v>776</v>
      </c>
      <c r="B82" s="132" t="s">
        <v>407</v>
      </c>
      <c r="C82" s="132" t="s">
        <v>406</v>
      </c>
      <c r="D82" s="180" t="s">
        <v>305</v>
      </c>
      <c r="E82" s="162">
        <v>50</v>
      </c>
      <c r="F82" s="186"/>
      <c r="G82" s="186"/>
      <c r="H82" s="186"/>
    </row>
    <row r="83" spans="1:8" s="187" customFormat="1" ht="25.5" outlineLevel="3" x14ac:dyDescent="0.2">
      <c r="A83" s="191" t="s">
        <v>777</v>
      </c>
      <c r="B83" s="132" t="s">
        <v>410</v>
      </c>
      <c r="C83" s="132" t="s">
        <v>409</v>
      </c>
      <c r="D83" s="180" t="s">
        <v>363</v>
      </c>
      <c r="E83" s="162">
        <v>520</v>
      </c>
      <c r="F83" s="186"/>
      <c r="G83" s="186"/>
      <c r="H83" s="186"/>
    </row>
    <row r="84" spans="1:8" s="187" customFormat="1" ht="15.75" outlineLevel="3" x14ac:dyDescent="0.2">
      <c r="A84" s="191" t="s">
        <v>778</v>
      </c>
      <c r="B84" s="132" t="s">
        <v>412</v>
      </c>
      <c r="C84" s="132" t="s">
        <v>411</v>
      </c>
      <c r="D84" s="180" t="s">
        <v>363</v>
      </c>
      <c r="E84" s="162">
        <v>520</v>
      </c>
      <c r="F84" s="186"/>
      <c r="G84" s="186"/>
      <c r="H84" s="186"/>
    </row>
    <row r="85" spans="1:8" s="187" customFormat="1" ht="15.75" outlineLevel="3" x14ac:dyDescent="0.2">
      <c r="A85" s="191" t="s">
        <v>779</v>
      </c>
      <c r="B85" s="132" t="s">
        <v>414</v>
      </c>
      <c r="C85" s="132" t="s">
        <v>413</v>
      </c>
      <c r="D85" s="180" t="s">
        <v>363</v>
      </c>
      <c r="E85" s="162">
        <v>10</v>
      </c>
      <c r="F85" s="186"/>
      <c r="G85" s="186"/>
      <c r="H85" s="186"/>
    </row>
    <row r="86" spans="1:8" s="187" customFormat="1" ht="15.75" outlineLevel="3" x14ac:dyDescent="0.2">
      <c r="A86" s="191" t="s">
        <v>780</v>
      </c>
      <c r="B86" s="132" t="s">
        <v>416</v>
      </c>
      <c r="C86" s="132" t="s">
        <v>415</v>
      </c>
      <c r="D86" s="180" t="s">
        <v>363</v>
      </c>
      <c r="E86" s="162">
        <v>400</v>
      </c>
      <c r="F86" s="186"/>
      <c r="G86" s="186"/>
      <c r="H86" s="186"/>
    </row>
    <row r="87" spans="1:8" ht="25.5" outlineLevel="1" x14ac:dyDescent="0.2">
      <c r="A87" s="208" t="s">
        <v>277</v>
      </c>
      <c r="B87" s="100" t="s">
        <v>26</v>
      </c>
      <c r="C87" s="93" t="s">
        <v>27</v>
      </c>
      <c r="D87" s="178" t="s">
        <v>250</v>
      </c>
      <c r="E87" s="158">
        <v>1</v>
      </c>
      <c r="F87" s="182"/>
      <c r="G87" s="182"/>
      <c r="H87" s="182"/>
    </row>
    <row r="88" spans="1:8" s="196" customFormat="1" ht="15.75" outlineLevel="2" x14ac:dyDescent="0.2">
      <c r="A88" s="208" t="s">
        <v>278</v>
      </c>
      <c r="B88" s="93" t="s">
        <v>149</v>
      </c>
      <c r="C88" s="93" t="s">
        <v>417</v>
      </c>
      <c r="D88" s="178" t="s">
        <v>305</v>
      </c>
      <c r="E88" s="158">
        <v>1</v>
      </c>
      <c r="F88" s="195"/>
      <c r="G88" s="195"/>
      <c r="H88" s="195"/>
    </row>
    <row r="89" spans="1:8" s="196" customFormat="1" ht="25.5" outlineLevel="2" x14ac:dyDescent="0.2">
      <c r="A89" s="208" t="s">
        <v>280</v>
      </c>
      <c r="B89" s="93" t="s">
        <v>151</v>
      </c>
      <c r="C89" s="93" t="s">
        <v>152</v>
      </c>
      <c r="D89" s="178" t="s">
        <v>250</v>
      </c>
      <c r="E89" s="158">
        <v>1</v>
      </c>
      <c r="F89" s="195"/>
      <c r="G89" s="195"/>
      <c r="H89" s="195"/>
    </row>
    <row r="90" spans="1:8" s="187" customFormat="1" ht="15.75" outlineLevel="3" x14ac:dyDescent="0.2">
      <c r="A90" s="191"/>
      <c r="B90" s="124"/>
      <c r="C90" s="201" t="s">
        <v>279</v>
      </c>
      <c r="D90" s="180"/>
      <c r="E90" s="162"/>
      <c r="F90" s="186"/>
      <c r="G90" s="186"/>
      <c r="H90" s="186"/>
    </row>
    <row r="91" spans="1:8" s="187" customFormat="1" ht="25.5" outlineLevel="3" x14ac:dyDescent="0.2">
      <c r="A91" s="191" t="s">
        <v>781</v>
      </c>
      <c r="B91" s="124" t="s">
        <v>422</v>
      </c>
      <c r="C91" s="124" t="s">
        <v>265</v>
      </c>
      <c r="D91" s="180" t="s">
        <v>262</v>
      </c>
      <c r="E91" s="173">
        <f>25.8</f>
        <v>25.8</v>
      </c>
      <c r="F91" s="186"/>
      <c r="G91" s="186"/>
      <c r="H91" s="186"/>
    </row>
    <row r="92" spans="1:8" s="187" customFormat="1" ht="15.75" outlineLevel="3" x14ac:dyDescent="0.2">
      <c r="A92" s="191" t="s">
        <v>782</v>
      </c>
      <c r="B92" s="124" t="s">
        <v>421</v>
      </c>
      <c r="C92" s="124" t="s">
        <v>418</v>
      </c>
      <c r="D92" s="180" t="s">
        <v>262</v>
      </c>
      <c r="E92" s="173">
        <f>10.3</f>
        <v>10.3</v>
      </c>
      <c r="F92" s="186"/>
      <c r="G92" s="186"/>
      <c r="H92" s="186"/>
    </row>
    <row r="93" spans="1:8" s="187" customFormat="1" ht="25.5" outlineLevel="3" x14ac:dyDescent="0.2">
      <c r="A93" s="191" t="s">
        <v>783</v>
      </c>
      <c r="B93" s="124" t="s">
        <v>420</v>
      </c>
      <c r="C93" s="124" t="s">
        <v>419</v>
      </c>
      <c r="D93" s="180" t="s">
        <v>262</v>
      </c>
      <c r="E93" s="173">
        <f>15.5</f>
        <v>15.5</v>
      </c>
      <c r="F93" s="186"/>
      <c r="G93" s="186"/>
      <c r="H93" s="186"/>
    </row>
    <row r="94" spans="1:8" s="187" customFormat="1" ht="15.75" outlineLevel="3" x14ac:dyDescent="0.2">
      <c r="A94" s="191" t="s">
        <v>784</v>
      </c>
      <c r="B94" s="124" t="s">
        <v>423</v>
      </c>
      <c r="C94" s="124" t="s">
        <v>343</v>
      </c>
      <c r="D94" s="180" t="s">
        <v>262</v>
      </c>
      <c r="E94" s="173">
        <f>10.3</f>
        <v>10.3</v>
      </c>
      <c r="F94" s="186"/>
      <c r="G94" s="186"/>
      <c r="H94" s="186"/>
    </row>
    <row r="95" spans="1:8" s="187" customFormat="1" ht="15.75" outlineLevel="3" x14ac:dyDescent="0.2">
      <c r="A95" s="191" t="s">
        <v>785</v>
      </c>
      <c r="B95" s="124" t="s">
        <v>426</v>
      </c>
      <c r="C95" s="124" t="s">
        <v>424</v>
      </c>
      <c r="D95" s="180" t="s">
        <v>305</v>
      </c>
      <c r="E95" s="162">
        <v>1</v>
      </c>
      <c r="F95" s="186" t="s">
        <v>425</v>
      </c>
      <c r="G95" s="186"/>
      <c r="H95" s="186"/>
    </row>
    <row r="96" spans="1:8" s="187" customFormat="1" ht="15.75" outlineLevel="3" x14ac:dyDescent="0.2">
      <c r="A96" s="191" t="s">
        <v>786</v>
      </c>
      <c r="B96" s="124" t="s">
        <v>428</v>
      </c>
      <c r="C96" s="124" t="s">
        <v>427</v>
      </c>
      <c r="D96" s="180" t="s">
        <v>271</v>
      </c>
      <c r="E96" s="169">
        <f>32.909</f>
        <v>32.908999999999999</v>
      </c>
      <c r="F96" s="186"/>
      <c r="G96" s="186"/>
      <c r="H96" s="186"/>
    </row>
    <row r="97" spans="1:8" s="187" customFormat="1" ht="15.75" outlineLevel="3" x14ac:dyDescent="0.2">
      <c r="A97" s="191" t="s">
        <v>787</v>
      </c>
      <c r="B97" s="124" t="s">
        <v>430</v>
      </c>
      <c r="C97" s="124" t="s">
        <v>429</v>
      </c>
      <c r="D97" s="180" t="s">
        <v>250</v>
      </c>
      <c r="E97" s="162">
        <v>1</v>
      </c>
      <c r="F97" s="186" t="s">
        <v>431</v>
      </c>
      <c r="G97" s="186"/>
      <c r="H97" s="186"/>
    </row>
    <row r="98" spans="1:8" s="196" customFormat="1" ht="25.5" outlineLevel="2" x14ac:dyDescent="0.2">
      <c r="A98" s="208" t="s">
        <v>788</v>
      </c>
      <c r="B98" s="93" t="s">
        <v>153</v>
      </c>
      <c r="C98" s="93" t="s">
        <v>154</v>
      </c>
      <c r="D98" s="178" t="s">
        <v>250</v>
      </c>
      <c r="E98" s="158">
        <v>1</v>
      </c>
      <c r="F98" s="195"/>
      <c r="G98" s="195"/>
      <c r="H98" s="195"/>
    </row>
    <row r="99" spans="1:8" s="187" customFormat="1" ht="102" outlineLevel="3" x14ac:dyDescent="0.2">
      <c r="A99" s="191" t="s">
        <v>792</v>
      </c>
      <c r="B99" s="124" t="s">
        <v>437</v>
      </c>
      <c r="C99" s="124" t="s">
        <v>432</v>
      </c>
      <c r="D99" s="180" t="s">
        <v>283</v>
      </c>
      <c r="E99" s="162">
        <v>1</v>
      </c>
      <c r="F99" s="189" t="s">
        <v>789</v>
      </c>
      <c r="G99" s="186"/>
      <c r="H99" s="186"/>
    </row>
    <row r="100" spans="1:8" s="187" customFormat="1" ht="25.5" outlineLevel="3" x14ac:dyDescent="0.2">
      <c r="A100" s="191" t="s">
        <v>793</v>
      </c>
      <c r="B100" s="124" t="s">
        <v>436</v>
      </c>
      <c r="C100" s="124" t="s">
        <v>435</v>
      </c>
      <c r="D100" s="180" t="s">
        <v>271</v>
      </c>
      <c r="E100" s="162">
        <v>40</v>
      </c>
      <c r="F100" s="186"/>
      <c r="G100" s="186"/>
      <c r="H100" s="186"/>
    </row>
    <row r="101" spans="1:8" s="187" customFormat="1" ht="63.75" outlineLevel="3" x14ac:dyDescent="0.2">
      <c r="A101" s="191" t="s">
        <v>794</v>
      </c>
      <c r="B101" s="124" t="s">
        <v>434</v>
      </c>
      <c r="C101" s="124" t="s">
        <v>433</v>
      </c>
      <c r="D101" s="180" t="s">
        <v>363</v>
      </c>
      <c r="E101" s="173">
        <f>49.8</f>
        <v>49.8</v>
      </c>
      <c r="F101" s="189" t="s">
        <v>790</v>
      </c>
      <c r="G101" s="186"/>
      <c r="H101" s="186"/>
    </row>
    <row r="102" spans="1:8" s="187" customFormat="1" ht="15.75" outlineLevel="3" x14ac:dyDescent="0.2">
      <c r="A102" s="191" t="s">
        <v>795</v>
      </c>
      <c r="B102" s="124" t="s">
        <v>439</v>
      </c>
      <c r="C102" s="124" t="s">
        <v>438</v>
      </c>
      <c r="D102" s="180" t="s">
        <v>271</v>
      </c>
      <c r="E102" s="162">
        <v>33</v>
      </c>
      <c r="F102" s="186"/>
      <c r="G102" s="186"/>
      <c r="H102" s="186"/>
    </row>
    <row r="103" spans="1:8" s="187" customFormat="1" ht="15.75" outlineLevel="3" x14ac:dyDescent="0.2">
      <c r="A103" s="191" t="s">
        <v>796</v>
      </c>
      <c r="B103" s="124" t="s">
        <v>441</v>
      </c>
      <c r="C103" s="124" t="s">
        <v>440</v>
      </c>
      <c r="D103" s="180" t="s">
        <v>271</v>
      </c>
      <c r="E103" s="162">
        <v>7</v>
      </c>
      <c r="F103" s="186"/>
      <c r="G103" s="186"/>
      <c r="H103" s="186"/>
    </row>
    <row r="104" spans="1:8" s="187" customFormat="1" ht="15.75" outlineLevel="3" x14ac:dyDescent="0.2">
      <c r="A104" s="191" t="s">
        <v>797</v>
      </c>
      <c r="B104" s="124" t="s">
        <v>442</v>
      </c>
      <c r="C104" s="124" t="s">
        <v>443</v>
      </c>
      <c r="D104" s="180" t="s">
        <v>250</v>
      </c>
      <c r="E104" s="162">
        <v>1</v>
      </c>
      <c r="F104" s="186"/>
      <c r="G104" s="186"/>
      <c r="H104" s="186"/>
    </row>
    <row r="105" spans="1:8" s="187" customFormat="1" ht="51" outlineLevel="3" x14ac:dyDescent="0.2">
      <c r="A105" s="191" t="s">
        <v>798</v>
      </c>
      <c r="B105" s="124" t="s">
        <v>446</v>
      </c>
      <c r="C105" s="124" t="s">
        <v>444</v>
      </c>
      <c r="D105" s="180" t="s">
        <v>363</v>
      </c>
      <c r="E105" s="173">
        <f>3.8</f>
        <v>3.8</v>
      </c>
      <c r="F105" s="189" t="s">
        <v>791</v>
      </c>
      <c r="G105" s="186"/>
      <c r="H105" s="186"/>
    </row>
    <row r="106" spans="1:8" s="187" customFormat="1" ht="15.75" outlineLevel="3" x14ac:dyDescent="0.2">
      <c r="A106" s="191" t="s">
        <v>799</v>
      </c>
      <c r="B106" s="124" t="s">
        <v>447</v>
      </c>
      <c r="C106" s="124" t="s">
        <v>445</v>
      </c>
      <c r="D106" s="180" t="s">
        <v>305</v>
      </c>
      <c r="E106" s="162">
        <v>1</v>
      </c>
      <c r="F106" s="189"/>
      <c r="G106" s="186"/>
      <c r="H106" s="186"/>
    </row>
    <row r="107" spans="1:8" s="187" customFormat="1" ht="15.75" outlineLevel="3" x14ac:dyDescent="0.2">
      <c r="A107" s="191" t="s">
        <v>800</v>
      </c>
      <c r="B107" s="124" t="s">
        <v>449</v>
      </c>
      <c r="C107" s="124" t="s">
        <v>448</v>
      </c>
      <c r="D107" s="180" t="s">
        <v>305</v>
      </c>
      <c r="E107" s="162">
        <v>2</v>
      </c>
      <c r="F107" s="189"/>
      <c r="G107" s="186"/>
      <c r="H107" s="186"/>
    </row>
    <row r="108" spans="1:8" s="187" customFormat="1" ht="15.75" outlineLevel="3" x14ac:dyDescent="0.2">
      <c r="A108" s="191" t="s">
        <v>801</v>
      </c>
      <c r="B108" s="124" t="s">
        <v>451</v>
      </c>
      <c r="C108" s="124" t="s">
        <v>450</v>
      </c>
      <c r="D108" s="180" t="s">
        <v>363</v>
      </c>
      <c r="E108" s="173">
        <v>4.2</v>
      </c>
      <c r="F108" s="189"/>
      <c r="G108" s="186"/>
      <c r="H108" s="186"/>
    </row>
    <row r="109" spans="1:8" s="187" customFormat="1" ht="38.25" outlineLevel="3" x14ac:dyDescent="0.2">
      <c r="A109" s="191" t="s">
        <v>802</v>
      </c>
      <c r="B109" s="124" t="s">
        <v>453</v>
      </c>
      <c r="C109" s="124" t="s">
        <v>452</v>
      </c>
      <c r="D109" s="180" t="s">
        <v>305</v>
      </c>
      <c r="E109" s="162">
        <v>1</v>
      </c>
      <c r="F109" s="189"/>
      <c r="G109" s="186"/>
      <c r="H109" s="186"/>
    </row>
    <row r="110" spans="1:8" s="187" customFormat="1" ht="25.5" outlineLevel="3" x14ac:dyDescent="0.2">
      <c r="A110" s="191" t="s">
        <v>803</v>
      </c>
      <c r="B110" s="124" t="s">
        <v>454</v>
      </c>
      <c r="C110" s="124" t="s">
        <v>455</v>
      </c>
      <c r="D110" s="180" t="s">
        <v>271</v>
      </c>
      <c r="E110" s="162">
        <v>7</v>
      </c>
      <c r="F110" s="189"/>
      <c r="G110" s="186"/>
      <c r="H110" s="186"/>
    </row>
    <row r="111" spans="1:8" s="187" customFormat="1" ht="15.75" outlineLevel="3" x14ac:dyDescent="0.2">
      <c r="A111" s="191" t="s">
        <v>804</v>
      </c>
      <c r="B111" s="124" t="s">
        <v>457</v>
      </c>
      <c r="C111" s="124" t="s">
        <v>456</v>
      </c>
      <c r="D111" s="180" t="s">
        <v>271</v>
      </c>
      <c r="E111" s="162">
        <v>30</v>
      </c>
      <c r="F111" s="189"/>
      <c r="G111" s="186"/>
      <c r="H111" s="186"/>
    </row>
    <row r="112" spans="1:8" s="187" customFormat="1" ht="15.75" outlineLevel="3" x14ac:dyDescent="0.2">
      <c r="A112" s="191" t="s">
        <v>805</v>
      </c>
      <c r="B112" s="124" t="s">
        <v>459</v>
      </c>
      <c r="C112" s="124" t="s">
        <v>458</v>
      </c>
      <c r="D112" s="180" t="s">
        <v>271</v>
      </c>
      <c r="E112" s="162">
        <v>7</v>
      </c>
      <c r="F112" s="189"/>
      <c r="G112" s="186"/>
      <c r="H112" s="186"/>
    </row>
    <row r="113" spans="1:8" s="196" customFormat="1" ht="38.25" outlineLevel="2" x14ac:dyDescent="0.2">
      <c r="A113" s="208" t="s">
        <v>806</v>
      </c>
      <c r="B113" s="93" t="s">
        <v>155</v>
      </c>
      <c r="C113" s="93" t="s">
        <v>460</v>
      </c>
      <c r="D113" s="178" t="s">
        <v>250</v>
      </c>
      <c r="E113" s="158">
        <v>1</v>
      </c>
      <c r="F113" s="195"/>
      <c r="G113" s="195"/>
      <c r="H113" s="195"/>
    </row>
    <row r="114" spans="1:8" ht="15.75" outlineLevel="3" x14ac:dyDescent="0.2">
      <c r="A114" s="191" t="s">
        <v>807</v>
      </c>
      <c r="B114" s="124" t="s">
        <v>462</v>
      </c>
      <c r="C114" s="124" t="s">
        <v>461</v>
      </c>
      <c r="D114" s="180" t="s">
        <v>305</v>
      </c>
      <c r="E114" s="162">
        <v>2</v>
      </c>
      <c r="F114" s="182"/>
      <c r="G114" s="182"/>
      <c r="H114" s="182"/>
    </row>
    <row r="115" spans="1:8" s="196" customFormat="1" ht="25.5" outlineLevel="2" x14ac:dyDescent="0.2">
      <c r="A115" s="208" t="s">
        <v>808</v>
      </c>
      <c r="B115" s="93" t="s">
        <v>157</v>
      </c>
      <c r="C115" s="93" t="s">
        <v>158</v>
      </c>
      <c r="D115" s="178" t="s">
        <v>250</v>
      </c>
      <c r="E115" s="158">
        <v>1</v>
      </c>
      <c r="F115" s="195"/>
      <c r="G115" s="195"/>
      <c r="H115" s="195"/>
    </row>
    <row r="116" spans="1:8" s="187" customFormat="1" ht="25.5" outlineLevel="3" x14ac:dyDescent="0.2">
      <c r="A116" s="191" t="s">
        <v>809</v>
      </c>
      <c r="B116" s="124" t="s">
        <v>464</v>
      </c>
      <c r="C116" s="124" t="s">
        <v>463</v>
      </c>
      <c r="D116" s="180" t="s">
        <v>283</v>
      </c>
      <c r="E116" s="162">
        <v>1</v>
      </c>
      <c r="F116" s="186"/>
      <c r="G116" s="186"/>
      <c r="H116" s="186"/>
    </row>
    <row r="117" spans="1:8" s="187" customFormat="1" ht="25.5" outlineLevel="3" x14ac:dyDescent="0.2">
      <c r="A117" s="191" t="s">
        <v>810</v>
      </c>
      <c r="B117" s="124" t="s">
        <v>466</v>
      </c>
      <c r="C117" s="124" t="s">
        <v>465</v>
      </c>
      <c r="D117" s="180" t="s">
        <v>283</v>
      </c>
      <c r="E117" s="162">
        <v>1</v>
      </c>
      <c r="F117" s="186"/>
      <c r="G117" s="186"/>
      <c r="H117" s="186"/>
    </row>
    <row r="118" spans="1:8" s="187" customFormat="1" ht="15.75" outlineLevel="3" x14ac:dyDescent="0.2">
      <c r="A118" s="191" t="s">
        <v>811</v>
      </c>
      <c r="B118" s="124" t="s">
        <v>468</v>
      </c>
      <c r="C118" s="124" t="s">
        <v>467</v>
      </c>
      <c r="D118" s="180" t="s">
        <v>250</v>
      </c>
      <c r="E118" s="162">
        <v>1</v>
      </c>
      <c r="F118" s="186"/>
      <c r="G118" s="186"/>
      <c r="H118" s="186"/>
    </row>
    <row r="119" spans="1:8" s="187" customFormat="1" ht="15.75" outlineLevel="3" x14ac:dyDescent="0.2">
      <c r="A119" s="191" t="s">
        <v>812</v>
      </c>
      <c r="B119" s="124" t="s">
        <v>470</v>
      </c>
      <c r="C119" s="124" t="s">
        <v>469</v>
      </c>
      <c r="D119" s="180" t="s">
        <v>250</v>
      </c>
      <c r="E119" s="162">
        <v>1</v>
      </c>
      <c r="F119" s="186"/>
      <c r="G119" s="186"/>
      <c r="H119" s="186"/>
    </row>
    <row r="120" spans="1:8" s="187" customFormat="1" ht="15.75" outlineLevel="3" x14ac:dyDescent="0.2">
      <c r="A120" s="191" t="s">
        <v>813</v>
      </c>
      <c r="B120" s="124" t="s">
        <v>472</v>
      </c>
      <c r="C120" s="124" t="s">
        <v>471</v>
      </c>
      <c r="D120" s="180" t="s">
        <v>250</v>
      </c>
      <c r="E120" s="162">
        <v>1</v>
      </c>
      <c r="F120" s="186"/>
      <c r="G120" s="186"/>
      <c r="H120" s="186"/>
    </row>
    <row r="121" spans="1:8" s="196" customFormat="1" ht="25.5" outlineLevel="2" x14ac:dyDescent="0.2">
      <c r="A121" s="208" t="s">
        <v>814</v>
      </c>
      <c r="B121" s="93" t="s">
        <v>159</v>
      </c>
      <c r="C121" s="93" t="s">
        <v>160</v>
      </c>
      <c r="D121" s="178" t="s">
        <v>250</v>
      </c>
      <c r="E121" s="158">
        <v>1</v>
      </c>
      <c r="F121" s="195"/>
      <c r="G121" s="195"/>
      <c r="H121" s="195"/>
    </row>
    <row r="122" spans="1:8" s="187" customFormat="1" ht="51" outlineLevel="3" x14ac:dyDescent="0.2">
      <c r="A122" s="191" t="s">
        <v>815</v>
      </c>
      <c r="B122" s="124" t="s">
        <v>474</v>
      </c>
      <c r="C122" s="124" t="s">
        <v>473</v>
      </c>
      <c r="D122" s="180" t="s">
        <v>283</v>
      </c>
      <c r="E122" s="162">
        <v>1</v>
      </c>
      <c r="F122" s="186"/>
      <c r="G122" s="186"/>
      <c r="H122" s="186"/>
    </row>
    <row r="123" spans="1:8" s="187" customFormat="1" ht="51" outlineLevel="3" x14ac:dyDescent="0.2">
      <c r="A123" s="191" t="s">
        <v>816</v>
      </c>
      <c r="B123" s="124" t="s">
        <v>476</v>
      </c>
      <c r="C123" s="124" t="s">
        <v>475</v>
      </c>
      <c r="D123" s="180" t="s">
        <v>283</v>
      </c>
      <c r="E123" s="162">
        <v>1</v>
      </c>
      <c r="F123" s="186"/>
      <c r="G123" s="186"/>
      <c r="H123" s="186"/>
    </row>
    <row r="124" spans="1:8" s="187" customFormat="1" ht="63.75" outlineLevel="3" x14ac:dyDescent="0.2">
      <c r="A124" s="191" t="s">
        <v>817</v>
      </c>
      <c r="B124" s="124" t="s">
        <v>478</v>
      </c>
      <c r="C124" s="124" t="s">
        <v>477</v>
      </c>
      <c r="D124" s="180" t="s">
        <v>283</v>
      </c>
      <c r="E124" s="162">
        <v>1</v>
      </c>
      <c r="F124" s="186"/>
      <c r="G124" s="186"/>
      <c r="H124" s="186"/>
    </row>
    <row r="125" spans="1:8" s="196" customFormat="1" ht="25.5" outlineLevel="2" x14ac:dyDescent="0.2">
      <c r="A125" s="208" t="s">
        <v>818</v>
      </c>
      <c r="B125" s="93" t="s">
        <v>161</v>
      </c>
      <c r="C125" s="93" t="s">
        <v>162</v>
      </c>
      <c r="D125" s="178" t="s">
        <v>250</v>
      </c>
      <c r="E125" s="158">
        <v>1</v>
      </c>
      <c r="F125" s="195"/>
      <c r="G125" s="195"/>
      <c r="H125" s="195"/>
    </row>
    <row r="126" spans="1:8" s="187" customFormat="1" ht="15.75" outlineLevel="3" x14ac:dyDescent="0.2">
      <c r="A126" s="191" t="s">
        <v>819</v>
      </c>
      <c r="B126" s="124" t="s">
        <v>480</v>
      </c>
      <c r="C126" s="124" t="s">
        <v>479</v>
      </c>
      <c r="D126" s="180" t="s">
        <v>250</v>
      </c>
      <c r="E126" s="162">
        <v>1</v>
      </c>
      <c r="F126" s="186"/>
      <c r="G126" s="186"/>
      <c r="H126" s="186"/>
    </row>
    <row r="127" spans="1:8" s="187" customFormat="1" ht="15.75" outlineLevel="3" x14ac:dyDescent="0.2">
      <c r="A127" s="191" t="s">
        <v>820</v>
      </c>
      <c r="B127" s="124" t="s">
        <v>482</v>
      </c>
      <c r="C127" s="124" t="s">
        <v>481</v>
      </c>
      <c r="D127" s="180" t="s">
        <v>250</v>
      </c>
      <c r="E127" s="162">
        <v>1</v>
      </c>
      <c r="F127" s="186"/>
      <c r="G127" s="186"/>
      <c r="H127" s="186"/>
    </row>
    <row r="128" spans="1:8" s="187" customFormat="1" ht="15.75" outlineLevel="3" x14ac:dyDescent="0.2">
      <c r="A128" s="191" t="s">
        <v>821</v>
      </c>
      <c r="B128" s="124" t="s">
        <v>484</v>
      </c>
      <c r="C128" s="124" t="s">
        <v>483</v>
      </c>
      <c r="D128" s="180" t="s">
        <v>250</v>
      </c>
      <c r="E128" s="162">
        <v>1</v>
      </c>
      <c r="F128" s="186"/>
      <c r="G128" s="186"/>
      <c r="H128" s="186"/>
    </row>
    <row r="129" spans="1:8" s="196" customFormat="1" ht="25.5" outlineLevel="2" x14ac:dyDescent="0.2">
      <c r="A129" s="208" t="s">
        <v>822</v>
      </c>
      <c r="B129" s="93" t="s">
        <v>163</v>
      </c>
      <c r="C129" s="93" t="s">
        <v>164</v>
      </c>
      <c r="D129" s="178" t="s">
        <v>250</v>
      </c>
      <c r="E129" s="158">
        <v>1</v>
      </c>
      <c r="F129" s="195"/>
      <c r="G129" s="195"/>
      <c r="H129" s="195"/>
    </row>
    <row r="130" spans="1:8" s="187" customFormat="1" ht="25.5" outlineLevel="3" x14ac:dyDescent="0.2">
      <c r="A130" s="191" t="s">
        <v>823</v>
      </c>
      <c r="B130" s="124" t="s">
        <v>486</v>
      </c>
      <c r="C130" s="124" t="s">
        <v>485</v>
      </c>
      <c r="D130" s="180" t="s">
        <v>250</v>
      </c>
      <c r="E130" s="162">
        <v>1</v>
      </c>
      <c r="F130" s="186"/>
      <c r="G130" s="186"/>
      <c r="H130" s="186"/>
    </row>
    <row r="131" spans="1:8" s="187" customFormat="1" ht="15.75" outlineLevel="3" x14ac:dyDescent="0.2">
      <c r="A131" s="191" t="s">
        <v>824</v>
      </c>
      <c r="B131" s="124" t="s">
        <v>488</v>
      </c>
      <c r="C131" s="124" t="s">
        <v>487</v>
      </c>
      <c r="D131" s="180" t="s">
        <v>250</v>
      </c>
      <c r="E131" s="162">
        <v>1</v>
      </c>
      <c r="F131" s="186"/>
      <c r="G131" s="186"/>
      <c r="H131" s="186"/>
    </row>
    <row r="132" spans="1:8" s="187" customFormat="1" ht="15.75" outlineLevel="3" x14ac:dyDescent="0.2">
      <c r="A132" s="191" t="s">
        <v>825</v>
      </c>
      <c r="B132" s="124" t="s">
        <v>490</v>
      </c>
      <c r="C132" s="124" t="s">
        <v>489</v>
      </c>
      <c r="D132" s="180" t="s">
        <v>250</v>
      </c>
      <c r="E132" s="162">
        <v>1</v>
      </c>
      <c r="F132" s="186"/>
      <c r="G132" s="186"/>
      <c r="H132" s="186"/>
    </row>
    <row r="133" spans="1:8" s="196" customFormat="1" ht="25.5" outlineLevel="2" x14ac:dyDescent="0.2">
      <c r="A133" s="208" t="s">
        <v>826</v>
      </c>
      <c r="B133" s="93" t="s">
        <v>165</v>
      </c>
      <c r="C133" s="93" t="s">
        <v>166</v>
      </c>
      <c r="D133" s="178" t="s">
        <v>250</v>
      </c>
      <c r="E133" s="158">
        <v>1</v>
      </c>
      <c r="F133" s="195"/>
      <c r="G133" s="195"/>
      <c r="H133" s="195"/>
    </row>
    <row r="134" spans="1:8" s="187" customFormat="1" ht="15.75" outlineLevel="3" x14ac:dyDescent="0.2">
      <c r="A134" s="191" t="s">
        <v>827</v>
      </c>
      <c r="B134" s="124" t="s">
        <v>492</v>
      </c>
      <c r="C134" s="124" t="s">
        <v>491</v>
      </c>
      <c r="D134" s="180" t="s">
        <v>250</v>
      </c>
      <c r="E134" s="162">
        <v>1</v>
      </c>
      <c r="F134" s="186"/>
      <c r="G134" s="186"/>
      <c r="H134" s="186"/>
    </row>
    <row r="135" spans="1:8" s="187" customFormat="1" ht="15.75" outlineLevel="3" x14ac:dyDescent="0.2">
      <c r="A135" s="191" t="s">
        <v>828</v>
      </c>
      <c r="B135" s="124" t="s">
        <v>494</v>
      </c>
      <c r="C135" s="124" t="s">
        <v>493</v>
      </c>
      <c r="D135" s="180" t="s">
        <v>250</v>
      </c>
      <c r="E135" s="162">
        <v>1</v>
      </c>
      <c r="F135" s="186"/>
      <c r="G135" s="186"/>
      <c r="H135" s="186"/>
    </row>
    <row r="136" spans="1:8" s="196" customFormat="1" ht="25.5" outlineLevel="1" x14ac:dyDescent="0.2">
      <c r="A136" s="208" t="s">
        <v>281</v>
      </c>
      <c r="B136" s="93" t="s">
        <v>28</v>
      </c>
      <c r="C136" s="93" t="s">
        <v>29</v>
      </c>
      <c r="D136" s="178" t="s">
        <v>250</v>
      </c>
      <c r="E136" s="158">
        <v>1</v>
      </c>
      <c r="F136" s="195"/>
      <c r="G136" s="195"/>
      <c r="H136" s="195"/>
    </row>
    <row r="137" spans="1:8" s="196" customFormat="1" ht="25.5" outlineLevel="2" x14ac:dyDescent="0.2">
      <c r="A137" s="208" t="s">
        <v>282</v>
      </c>
      <c r="B137" s="93" t="s">
        <v>235</v>
      </c>
      <c r="C137" s="93" t="s">
        <v>150</v>
      </c>
      <c r="D137" s="178" t="s">
        <v>250</v>
      </c>
      <c r="E137" s="158">
        <v>1</v>
      </c>
      <c r="F137" s="195"/>
      <c r="G137" s="195"/>
      <c r="H137" s="195"/>
    </row>
    <row r="138" spans="1:8" s="187" customFormat="1" ht="15.75" outlineLevel="3" x14ac:dyDescent="0.2">
      <c r="A138" s="191" t="s">
        <v>829</v>
      </c>
      <c r="B138" s="124" t="s">
        <v>496</v>
      </c>
      <c r="C138" s="124" t="s">
        <v>495</v>
      </c>
      <c r="D138" s="180" t="s">
        <v>283</v>
      </c>
      <c r="E138" s="162">
        <v>1</v>
      </c>
      <c r="F138" s="186" t="s">
        <v>497</v>
      </c>
      <c r="G138" s="186"/>
      <c r="H138" s="186"/>
    </row>
    <row r="139" spans="1:8" s="196" customFormat="1" ht="25.5" outlineLevel="2" x14ac:dyDescent="0.2">
      <c r="A139" s="208" t="s">
        <v>284</v>
      </c>
      <c r="B139" s="93" t="s">
        <v>236</v>
      </c>
      <c r="C139" s="93" t="s">
        <v>831</v>
      </c>
      <c r="D139" s="181" t="s">
        <v>250</v>
      </c>
      <c r="E139" s="158">
        <v>1</v>
      </c>
      <c r="F139" s="195"/>
      <c r="G139" s="195"/>
      <c r="H139" s="195"/>
    </row>
    <row r="140" spans="1:8" ht="15.75" outlineLevel="3" x14ac:dyDescent="0.2">
      <c r="A140" s="206"/>
      <c r="B140" s="124"/>
      <c r="C140" s="201" t="s">
        <v>498</v>
      </c>
      <c r="D140" s="181"/>
      <c r="E140" s="158"/>
      <c r="F140" s="182"/>
      <c r="G140" s="182"/>
      <c r="H140" s="182"/>
    </row>
    <row r="141" spans="1:8" s="187" customFormat="1" ht="25.5" outlineLevel="3" x14ac:dyDescent="0.2">
      <c r="A141" s="191" t="s">
        <v>830</v>
      </c>
      <c r="B141" s="124" t="s">
        <v>499</v>
      </c>
      <c r="C141" s="124" t="s">
        <v>265</v>
      </c>
      <c r="D141" s="179" t="s">
        <v>262</v>
      </c>
      <c r="E141" s="173">
        <f>139.5</f>
        <v>139.5</v>
      </c>
      <c r="F141" s="186"/>
      <c r="G141" s="186"/>
      <c r="H141" s="186"/>
    </row>
    <row r="142" spans="1:8" s="187" customFormat="1" ht="15.75" outlineLevel="3" x14ac:dyDescent="0.2">
      <c r="A142" s="191" t="s">
        <v>832</v>
      </c>
      <c r="B142" s="124" t="s">
        <v>502</v>
      </c>
      <c r="C142" s="124" t="s">
        <v>500</v>
      </c>
      <c r="D142" s="179" t="s">
        <v>262</v>
      </c>
      <c r="E142" s="173">
        <f>84.5</f>
        <v>84.5</v>
      </c>
      <c r="F142" s="186"/>
      <c r="G142" s="186"/>
      <c r="H142" s="186"/>
    </row>
    <row r="143" spans="1:8" s="187" customFormat="1" ht="25.5" outlineLevel="3" x14ac:dyDescent="0.2">
      <c r="A143" s="191" t="s">
        <v>833</v>
      </c>
      <c r="B143" s="124" t="s">
        <v>503</v>
      </c>
      <c r="C143" s="124" t="s">
        <v>501</v>
      </c>
      <c r="D143" s="179" t="s">
        <v>262</v>
      </c>
      <c r="E143" s="162">
        <v>55</v>
      </c>
      <c r="F143" s="186"/>
      <c r="G143" s="186"/>
      <c r="H143" s="186"/>
    </row>
    <row r="144" spans="1:8" s="187" customFormat="1" ht="15.75" outlineLevel="3" x14ac:dyDescent="0.2">
      <c r="A144" s="191" t="s">
        <v>834</v>
      </c>
      <c r="B144" s="124" t="s">
        <v>504</v>
      </c>
      <c r="C144" s="124" t="s">
        <v>343</v>
      </c>
      <c r="D144" s="179" t="s">
        <v>262</v>
      </c>
      <c r="E144" s="173">
        <f>84.5</f>
        <v>84.5</v>
      </c>
      <c r="F144" s="186"/>
      <c r="G144" s="186"/>
      <c r="H144" s="186"/>
    </row>
    <row r="145" spans="1:8" s="187" customFormat="1" ht="15.75" outlineLevel="3" x14ac:dyDescent="0.2">
      <c r="A145" s="191" t="s">
        <v>835</v>
      </c>
      <c r="B145" s="124" t="s">
        <v>507</v>
      </c>
      <c r="C145" s="124" t="s">
        <v>505</v>
      </c>
      <c r="D145" s="179" t="s">
        <v>283</v>
      </c>
      <c r="E145" s="162">
        <v>1</v>
      </c>
      <c r="F145" s="186" t="s">
        <v>506</v>
      </c>
      <c r="G145" s="186"/>
      <c r="H145" s="186"/>
    </row>
    <row r="146" spans="1:8" s="187" customFormat="1" ht="15.75" outlineLevel="3" x14ac:dyDescent="0.2">
      <c r="A146" s="191" t="s">
        <v>836</v>
      </c>
      <c r="B146" s="124" t="s">
        <v>509</v>
      </c>
      <c r="C146" s="124" t="s">
        <v>508</v>
      </c>
      <c r="D146" s="179" t="s">
        <v>271</v>
      </c>
      <c r="E146" s="173">
        <f>39.1</f>
        <v>39.1</v>
      </c>
      <c r="F146" s="186"/>
      <c r="G146" s="186"/>
      <c r="H146" s="186"/>
    </row>
    <row r="147" spans="1:8" s="187" customFormat="1" ht="15.75" outlineLevel="3" x14ac:dyDescent="0.2">
      <c r="A147" s="191" t="s">
        <v>837</v>
      </c>
      <c r="B147" s="124" t="s">
        <v>510</v>
      </c>
      <c r="C147" s="124" t="s">
        <v>429</v>
      </c>
      <c r="D147" s="179" t="s">
        <v>250</v>
      </c>
      <c r="E147" s="162">
        <v>1</v>
      </c>
      <c r="F147" s="186" t="s">
        <v>511</v>
      </c>
      <c r="G147" s="186"/>
      <c r="H147" s="186"/>
    </row>
    <row r="148" spans="1:8" s="187" customFormat="1" ht="15.75" outlineLevel="3" x14ac:dyDescent="0.2">
      <c r="A148" s="191" t="s">
        <v>838</v>
      </c>
      <c r="B148" s="124" t="s">
        <v>513</v>
      </c>
      <c r="C148" s="124" t="s">
        <v>512</v>
      </c>
      <c r="D148" s="179" t="s">
        <v>250</v>
      </c>
      <c r="E148" s="162">
        <v>1</v>
      </c>
      <c r="F148" s="186" t="s">
        <v>514</v>
      </c>
      <c r="G148" s="186"/>
      <c r="H148" s="186"/>
    </row>
    <row r="149" spans="1:8" s="187" customFormat="1" ht="15.75" outlineLevel="3" x14ac:dyDescent="0.2">
      <c r="A149" s="191" t="s">
        <v>839</v>
      </c>
      <c r="B149" s="124" t="s">
        <v>516</v>
      </c>
      <c r="C149" s="124" t="s">
        <v>515</v>
      </c>
      <c r="D149" s="179" t="s">
        <v>271</v>
      </c>
      <c r="E149" s="162">
        <v>82</v>
      </c>
      <c r="F149" s="186"/>
      <c r="G149" s="186"/>
      <c r="H149" s="186"/>
    </row>
    <row r="150" spans="1:8" s="187" customFormat="1" ht="15.75" outlineLevel="3" x14ac:dyDescent="0.2">
      <c r="A150" s="191" t="s">
        <v>840</v>
      </c>
      <c r="B150" s="124" t="s">
        <v>518</v>
      </c>
      <c r="C150" s="124" t="s">
        <v>517</v>
      </c>
      <c r="D150" s="179" t="s">
        <v>250</v>
      </c>
      <c r="E150" s="162">
        <v>1</v>
      </c>
      <c r="F150" s="186" t="s">
        <v>519</v>
      </c>
      <c r="G150" s="186"/>
      <c r="H150" s="186"/>
    </row>
    <row r="151" spans="1:8" s="196" customFormat="1" ht="25.5" outlineLevel="2" x14ac:dyDescent="0.2">
      <c r="A151" s="208" t="s">
        <v>285</v>
      </c>
      <c r="B151" s="93" t="s">
        <v>237</v>
      </c>
      <c r="C151" s="93" t="s">
        <v>521</v>
      </c>
      <c r="D151" s="181" t="s">
        <v>250</v>
      </c>
      <c r="E151" s="158">
        <v>1</v>
      </c>
      <c r="F151" s="195"/>
      <c r="G151" s="195"/>
      <c r="H151" s="195"/>
    </row>
    <row r="152" spans="1:8" s="187" customFormat="1" ht="102" outlineLevel="3" x14ac:dyDescent="0.2">
      <c r="A152" s="191" t="s">
        <v>841</v>
      </c>
      <c r="B152" s="124" t="s">
        <v>522</v>
      </c>
      <c r="C152" s="124" t="s">
        <v>520</v>
      </c>
      <c r="D152" s="179" t="s">
        <v>305</v>
      </c>
      <c r="E152" s="162">
        <v>1</v>
      </c>
      <c r="F152" s="189" t="s">
        <v>869</v>
      </c>
      <c r="G152" s="186"/>
      <c r="H152" s="186"/>
    </row>
    <row r="153" spans="1:8" s="187" customFormat="1" ht="102" outlineLevel="3" x14ac:dyDescent="0.2">
      <c r="A153" s="191" t="s">
        <v>842</v>
      </c>
      <c r="B153" s="124" t="s">
        <v>524</v>
      </c>
      <c r="C153" s="124" t="s">
        <v>523</v>
      </c>
      <c r="D153" s="179" t="s">
        <v>283</v>
      </c>
      <c r="E153" s="162">
        <v>1</v>
      </c>
      <c r="F153" s="189" t="s">
        <v>870</v>
      </c>
      <c r="G153" s="186"/>
      <c r="H153" s="186"/>
    </row>
    <row r="154" spans="1:8" s="187" customFormat="1" ht="102" outlineLevel="3" x14ac:dyDescent="0.2">
      <c r="A154" s="191" t="s">
        <v>843</v>
      </c>
      <c r="B154" s="124" t="s">
        <v>526</v>
      </c>
      <c r="C154" s="124" t="s">
        <v>525</v>
      </c>
      <c r="D154" s="179" t="s">
        <v>283</v>
      </c>
      <c r="E154" s="162">
        <v>1</v>
      </c>
      <c r="F154" s="189" t="s">
        <v>871</v>
      </c>
      <c r="G154" s="186"/>
      <c r="H154" s="186"/>
    </row>
    <row r="155" spans="1:8" s="187" customFormat="1" ht="25.5" outlineLevel="3" x14ac:dyDescent="0.2">
      <c r="A155" s="191" t="s">
        <v>844</v>
      </c>
      <c r="B155" s="124" t="s">
        <v>527</v>
      </c>
      <c r="C155" s="124" t="s">
        <v>528</v>
      </c>
      <c r="D155" s="179" t="s">
        <v>271</v>
      </c>
      <c r="E155" s="162">
        <v>200</v>
      </c>
      <c r="F155" s="186"/>
      <c r="G155" s="186"/>
      <c r="H155" s="186"/>
    </row>
    <row r="156" spans="1:8" s="187" customFormat="1" ht="63.75" outlineLevel="3" x14ac:dyDescent="0.2">
      <c r="A156" s="191" t="s">
        <v>845</v>
      </c>
      <c r="B156" s="124" t="s">
        <v>530</v>
      </c>
      <c r="C156" s="124" t="s">
        <v>529</v>
      </c>
      <c r="D156" s="179" t="s">
        <v>363</v>
      </c>
      <c r="E156" s="173">
        <f>49.8</f>
        <v>49.8</v>
      </c>
      <c r="F156" s="189" t="s">
        <v>790</v>
      </c>
      <c r="G156" s="186"/>
      <c r="H156" s="186"/>
    </row>
    <row r="157" spans="1:8" s="187" customFormat="1" ht="15.75" outlineLevel="3" x14ac:dyDescent="0.2">
      <c r="A157" s="191" t="s">
        <v>846</v>
      </c>
      <c r="B157" s="124" t="s">
        <v>532</v>
      </c>
      <c r="C157" s="124" t="s">
        <v>531</v>
      </c>
      <c r="D157" s="179" t="s">
        <v>271</v>
      </c>
      <c r="E157" s="162">
        <v>75</v>
      </c>
      <c r="F157" s="186"/>
      <c r="G157" s="186"/>
      <c r="H157" s="186"/>
    </row>
    <row r="158" spans="1:8" s="187" customFormat="1" ht="25.5" outlineLevel="3" x14ac:dyDescent="0.2">
      <c r="A158" s="191" t="s">
        <v>847</v>
      </c>
      <c r="B158" s="124" t="s">
        <v>533</v>
      </c>
      <c r="C158" s="124" t="s">
        <v>534</v>
      </c>
      <c r="D158" s="179" t="s">
        <v>271</v>
      </c>
      <c r="E158" s="173">
        <f>29.3</f>
        <v>29.3</v>
      </c>
      <c r="F158" s="189" t="s">
        <v>535</v>
      </c>
      <c r="G158" s="186"/>
      <c r="H158" s="186"/>
    </row>
    <row r="159" spans="1:8" s="187" customFormat="1" ht="25.5" outlineLevel="3" x14ac:dyDescent="0.2">
      <c r="A159" s="191" t="s">
        <v>848</v>
      </c>
      <c r="B159" s="124" t="s">
        <v>537</v>
      </c>
      <c r="C159" s="124" t="s">
        <v>536</v>
      </c>
      <c r="D159" s="179" t="s">
        <v>271</v>
      </c>
      <c r="E159" s="162">
        <f>28</f>
        <v>28</v>
      </c>
      <c r="F159" s="189" t="s">
        <v>535</v>
      </c>
      <c r="G159" s="186"/>
      <c r="H159" s="186"/>
    </row>
    <row r="160" spans="1:8" s="187" customFormat="1" ht="15.75" outlineLevel="3" x14ac:dyDescent="0.2">
      <c r="A160" s="191" t="s">
        <v>849</v>
      </c>
      <c r="B160" s="124" t="s">
        <v>539</v>
      </c>
      <c r="C160" s="124" t="s">
        <v>538</v>
      </c>
      <c r="D160" s="179" t="s">
        <v>250</v>
      </c>
      <c r="E160" s="162">
        <v>1</v>
      </c>
      <c r="F160" s="186"/>
      <c r="G160" s="186"/>
      <c r="H160" s="186"/>
    </row>
    <row r="161" spans="1:8" s="187" customFormat="1" ht="51" outlineLevel="3" x14ac:dyDescent="0.2">
      <c r="A161" s="191" t="s">
        <v>850</v>
      </c>
      <c r="B161" s="124" t="s">
        <v>540</v>
      </c>
      <c r="C161" s="124" t="s">
        <v>444</v>
      </c>
      <c r="D161" s="179" t="s">
        <v>363</v>
      </c>
      <c r="E161" s="173">
        <f>15.4</f>
        <v>15.4</v>
      </c>
      <c r="F161" s="189" t="s">
        <v>872</v>
      </c>
      <c r="G161" s="186"/>
      <c r="H161" s="186"/>
    </row>
    <row r="162" spans="1:8" s="187" customFormat="1" ht="15.75" outlineLevel="3" x14ac:dyDescent="0.2">
      <c r="A162" s="191" t="s">
        <v>851</v>
      </c>
      <c r="B162" s="124" t="s">
        <v>542</v>
      </c>
      <c r="C162" s="124" t="s">
        <v>541</v>
      </c>
      <c r="D162" s="179" t="s">
        <v>283</v>
      </c>
      <c r="E162" s="162">
        <v>1</v>
      </c>
      <c r="F162" s="186"/>
      <c r="G162" s="186"/>
      <c r="H162" s="186"/>
    </row>
    <row r="163" spans="1:8" s="187" customFormat="1" ht="15.75" outlineLevel="3" x14ac:dyDescent="0.2">
      <c r="A163" s="191" t="s">
        <v>852</v>
      </c>
      <c r="B163" s="124" t="s">
        <v>544</v>
      </c>
      <c r="C163" s="124" t="s">
        <v>543</v>
      </c>
      <c r="D163" s="179" t="s">
        <v>283</v>
      </c>
      <c r="E163" s="162">
        <v>2</v>
      </c>
      <c r="F163" s="186"/>
      <c r="G163" s="186"/>
      <c r="H163" s="186"/>
    </row>
    <row r="164" spans="1:8" s="187" customFormat="1" ht="15.75" outlineLevel="3" x14ac:dyDescent="0.2">
      <c r="A164" s="191" t="s">
        <v>853</v>
      </c>
      <c r="B164" s="124" t="s">
        <v>545</v>
      </c>
      <c r="C164" s="124" t="s">
        <v>450</v>
      </c>
      <c r="D164" s="179" t="s">
        <v>363</v>
      </c>
      <c r="E164" s="173">
        <f>3.9</f>
        <v>3.9</v>
      </c>
      <c r="F164" s="186"/>
      <c r="G164" s="186"/>
      <c r="H164" s="186"/>
    </row>
    <row r="165" spans="1:8" s="187" customFormat="1" ht="38.25" outlineLevel="3" x14ac:dyDescent="0.2">
      <c r="A165" s="191" t="s">
        <v>854</v>
      </c>
      <c r="B165" s="124" t="s">
        <v>547</v>
      </c>
      <c r="C165" s="124" t="s">
        <v>546</v>
      </c>
      <c r="D165" s="179" t="s">
        <v>283</v>
      </c>
      <c r="E165" s="162">
        <v>2</v>
      </c>
      <c r="F165" s="186"/>
      <c r="G165" s="186"/>
      <c r="H165" s="186"/>
    </row>
    <row r="166" spans="1:8" s="187" customFormat="1" ht="15.75" outlineLevel="3" x14ac:dyDescent="0.2">
      <c r="A166" s="191" t="s">
        <v>855</v>
      </c>
      <c r="B166" s="124" t="s">
        <v>548</v>
      </c>
      <c r="C166" s="124" t="s">
        <v>550</v>
      </c>
      <c r="D166" s="179" t="s">
        <v>283</v>
      </c>
      <c r="E166" s="162">
        <v>1</v>
      </c>
      <c r="F166" s="186"/>
      <c r="G166" s="186"/>
      <c r="H166" s="186"/>
    </row>
    <row r="167" spans="1:8" s="187" customFormat="1" ht="15.75" outlineLevel="3" x14ac:dyDescent="0.2">
      <c r="A167" s="191" t="s">
        <v>856</v>
      </c>
      <c r="B167" s="124" t="s">
        <v>548</v>
      </c>
      <c r="C167" s="124" t="s">
        <v>549</v>
      </c>
      <c r="D167" s="179" t="s">
        <v>283</v>
      </c>
      <c r="E167" s="162">
        <v>1</v>
      </c>
      <c r="F167" s="186"/>
      <c r="G167" s="186"/>
      <c r="H167" s="186"/>
    </row>
    <row r="168" spans="1:8" s="187" customFormat="1" ht="25.5" outlineLevel="3" x14ac:dyDescent="0.2">
      <c r="A168" s="191" t="s">
        <v>857</v>
      </c>
      <c r="B168" s="124" t="s">
        <v>552</v>
      </c>
      <c r="C168" s="124" t="s">
        <v>551</v>
      </c>
      <c r="D168" s="179" t="s">
        <v>283</v>
      </c>
      <c r="E168" s="162">
        <v>1</v>
      </c>
      <c r="F168" s="186"/>
      <c r="G168" s="186"/>
      <c r="H168" s="186"/>
    </row>
    <row r="169" spans="1:8" s="187" customFormat="1" ht="15.75" outlineLevel="3" x14ac:dyDescent="0.2">
      <c r="A169" s="191" t="s">
        <v>858</v>
      </c>
      <c r="B169" s="124" t="s">
        <v>553</v>
      </c>
      <c r="C169" s="124" t="s">
        <v>554</v>
      </c>
      <c r="D169" s="179" t="s">
        <v>283</v>
      </c>
      <c r="E169" s="162">
        <v>1</v>
      </c>
      <c r="F169" s="186" t="s">
        <v>555</v>
      </c>
      <c r="G169" s="186"/>
      <c r="H169" s="186"/>
    </row>
    <row r="170" spans="1:8" s="187" customFormat="1" ht="38.25" outlineLevel="3" x14ac:dyDescent="0.2">
      <c r="A170" s="191" t="s">
        <v>859</v>
      </c>
      <c r="B170" s="124" t="s">
        <v>560</v>
      </c>
      <c r="C170" s="124" t="s">
        <v>556</v>
      </c>
      <c r="D170" s="179" t="s">
        <v>271</v>
      </c>
      <c r="E170" s="174">
        <f>34.51</f>
        <v>34.51</v>
      </c>
      <c r="F170" s="186"/>
      <c r="G170" s="186"/>
      <c r="H170" s="186"/>
    </row>
    <row r="171" spans="1:8" s="187" customFormat="1" ht="25.5" outlineLevel="3" x14ac:dyDescent="0.2">
      <c r="A171" s="191" t="s">
        <v>860</v>
      </c>
      <c r="B171" s="124" t="s">
        <v>561</v>
      </c>
      <c r="C171" s="124" t="s">
        <v>558</v>
      </c>
      <c r="D171" s="179" t="s">
        <v>271</v>
      </c>
      <c r="E171" s="174">
        <f>20.09</f>
        <v>20.09</v>
      </c>
      <c r="F171" s="186"/>
      <c r="G171" s="186"/>
      <c r="H171" s="186"/>
    </row>
    <row r="172" spans="1:8" s="187" customFormat="1" ht="25.5" outlineLevel="3" x14ac:dyDescent="0.2">
      <c r="A172" s="191" t="s">
        <v>861</v>
      </c>
      <c r="B172" s="124" t="s">
        <v>562</v>
      </c>
      <c r="C172" s="124" t="s">
        <v>557</v>
      </c>
      <c r="D172" s="179" t="s">
        <v>271</v>
      </c>
      <c r="E172" s="174">
        <f>8.61</f>
        <v>8.61</v>
      </c>
      <c r="F172" s="186"/>
      <c r="G172" s="186"/>
      <c r="H172" s="186"/>
    </row>
    <row r="173" spans="1:8" s="187" customFormat="1" ht="38.25" outlineLevel="3" x14ac:dyDescent="0.2">
      <c r="A173" s="191" t="s">
        <v>862</v>
      </c>
      <c r="B173" s="124" t="s">
        <v>563</v>
      </c>
      <c r="C173" s="124" t="s">
        <v>559</v>
      </c>
      <c r="D173" s="179" t="s">
        <v>271</v>
      </c>
      <c r="E173" s="174">
        <f>5.81</f>
        <v>5.81</v>
      </c>
      <c r="F173" s="186"/>
      <c r="G173" s="186"/>
      <c r="H173" s="186"/>
    </row>
    <row r="174" spans="1:8" s="187" customFormat="1" ht="15.75" outlineLevel="3" x14ac:dyDescent="0.2">
      <c r="A174" s="191"/>
      <c r="B174" s="124"/>
      <c r="C174" s="201" t="s">
        <v>564</v>
      </c>
      <c r="D174" s="179"/>
      <c r="E174" s="162"/>
      <c r="F174" s="186"/>
      <c r="G174" s="186"/>
      <c r="H174" s="186"/>
    </row>
    <row r="175" spans="1:8" s="187" customFormat="1" ht="15.75" outlineLevel="3" x14ac:dyDescent="0.2">
      <c r="A175" s="191" t="s">
        <v>863</v>
      </c>
      <c r="B175" s="124" t="s">
        <v>566</v>
      </c>
      <c r="C175" s="124" t="s">
        <v>565</v>
      </c>
      <c r="D175" s="179" t="s">
        <v>271</v>
      </c>
      <c r="E175" s="174">
        <f>5.81</f>
        <v>5.81</v>
      </c>
      <c r="F175" s="186"/>
      <c r="G175" s="186"/>
      <c r="H175" s="186"/>
    </row>
    <row r="176" spans="1:8" s="187" customFormat="1" ht="15.75" outlineLevel="3" x14ac:dyDescent="0.2">
      <c r="A176" s="191"/>
      <c r="B176" s="124"/>
      <c r="C176" s="201" t="s">
        <v>568</v>
      </c>
      <c r="D176" s="179"/>
      <c r="E176" s="174"/>
      <c r="F176" s="186"/>
      <c r="G176" s="186"/>
      <c r="H176" s="186"/>
    </row>
    <row r="177" spans="1:8" s="187" customFormat="1" ht="15.75" outlineLevel="3" x14ac:dyDescent="0.2">
      <c r="A177" s="191" t="s">
        <v>864</v>
      </c>
      <c r="B177" s="124" t="s">
        <v>570</v>
      </c>
      <c r="C177" s="124" t="s">
        <v>567</v>
      </c>
      <c r="D177" s="179" t="s">
        <v>283</v>
      </c>
      <c r="E177" s="162">
        <v>1</v>
      </c>
      <c r="F177" s="186"/>
      <c r="G177" s="186"/>
      <c r="H177" s="186"/>
    </row>
    <row r="178" spans="1:8" s="187" customFormat="1" ht="38.25" outlineLevel="3" x14ac:dyDescent="0.2">
      <c r="A178" s="191" t="s">
        <v>865</v>
      </c>
      <c r="B178" s="124" t="s">
        <v>571</v>
      </c>
      <c r="C178" s="124" t="s">
        <v>569</v>
      </c>
      <c r="D178" s="179" t="s">
        <v>283</v>
      </c>
      <c r="E178" s="162">
        <v>1</v>
      </c>
      <c r="F178" s="186"/>
      <c r="G178" s="186"/>
      <c r="H178" s="186"/>
    </row>
    <row r="179" spans="1:8" s="187" customFormat="1" ht="38.25" outlineLevel="3" x14ac:dyDescent="0.2">
      <c r="A179" s="191" t="s">
        <v>866</v>
      </c>
      <c r="B179" s="124" t="s">
        <v>573</v>
      </c>
      <c r="C179" s="124" t="s">
        <v>572</v>
      </c>
      <c r="D179" s="179" t="s">
        <v>271</v>
      </c>
      <c r="E179" s="174">
        <f>108.88</f>
        <v>108.88</v>
      </c>
      <c r="F179" s="189" t="s">
        <v>577</v>
      </c>
      <c r="G179" s="186"/>
      <c r="H179" s="186"/>
    </row>
    <row r="180" spans="1:8" s="187" customFormat="1" ht="15.75" outlineLevel="3" x14ac:dyDescent="0.2">
      <c r="A180" s="191" t="s">
        <v>867</v>
      </c>
      <c r="B180" s="124" t="s">
        <v>575</v>
      </c>
      <c r="C180" s="124" t="s">
        <v>574</v>
      </c>
      <c r="D180" s="179" t="s">
        <v>271</v>
      </c>
      <c r="E180" s="162">
        <v>200</v>
      </c>
      <c r="F180" s="186"/>
      <c r="G180" s="186"/>
      <c r="H180" s="186"/>
    </row>
    <row r="181" spans="1:8" s="187" customFormat="1" ht="25.5" outlineLevel="3" x14ac:dyDescent="0.2">
      <c r="A181" s="191" t="s">
        <v>868</v>
      </c>
      <c r="B181" s="124" t="s">
        <v>576</v>
      </c>
      <c r="C181" s="124" t="s">
        <v>578</v>
      </c>
      <c r="D181" s="179" t="s">
        <v>271</v>
      </c>
      <c r="E181" s="174">
        <f>34.51</f>
        <v>34.51</v>
      </c>
      <c r="F181" s="186"/>
      <c r="G181" s="186"/>
      <c r="H181" s="186"/>
    </row>
    <row r="182" spans="1:8" s="196" customFormat="1" ht="38.25" outlineLevel="2" x14ac:dyDescent="0.2">
      <c r="A182" s="208" t="s">
        <v>286</v>
      </c>
      <c r="B182" s="93" t="s">
        <v>238</v>
      </c>
      <c r="C182" s="93" t="s">
        <v>883</v>
      </c>
      <c r="D182" s="181" t="s">
        <v>250</v>
      </c>
      <c r="E182" s="158">
        <v>1</v>
      </c>
      <c r="F182" s="195"/>
      <c r="G182" s="195"/>
      <c r="H182" s="195"/>
    </row>
    <row r="183" spans="1:8" ht="15.75" outlineLevel="3" x14ac:dyDescent="0.2">
      <c r="A183" s="206"/>
      <c r="B183" s="124"/>
      <c r="C183" s="201" t="s">
        <v>580</v>
      </c>
      <c r="D183" s="181"/>
      <c r="E183" s="158"/>
      <c r="F183" s="182"/>
      <c r="G183" s="182"/>
      <c r="H183" s="182"/>
    </row>
    <row r="184" spans="1:8" s="187" customFormat="1" ht="15.75" outlineLevel="3" x14ac:dyDescent="0.2">
      <c r="A184" s="191" t="s">
        <v>873</v>
      </c>
      <c r="B184" s="124" t="s">
        <v>582</v>
      </c>
      <c r="C184" s="124" t="s">
        <v>579</v>
      </c>
      <c r="D184" s="179" t="s">
        <v>283</v>
      </c>
      <c r="E184" s="162">
        <v>1</v>
      </c>
      <c r="F184" s="186"/>
      <c r="G184" s="186"/>
      <c r="H184" s="186"/>
    </row>
    <row r="185" spans="1:8" s="187" customFormat="1" ht="15.75" outlineLevel="3" x14ac:dyDescent="0.2">
      <c r="A185" s="191" t="s">
        <v>874</v>
      </c>
      <c r="B185" s="124" t="s">
        <v>583</v>
      </c>
      <c r="C185" s="124" t="s">
        <v>461</v>
      </c>
      <c r="D185" s="179" t="s">
        <v>283</v>
      </c>
      <c r="E185" s="162">
        <v>3</v>
      </c>
      <c r="F185" s="186"/>
      <c r="G185" s="186"/>
      <c r="H185" s="186"/>
    </row>
    <row r="186" spans="1:8" s="187" customFormat="1" ht="15.75" outlineLevel="3" x14ac:dyDescent="0.2">
      <c r="A186" s="191" t="s">
        <v>875</v>
      </c>
      <c r="B186" s="124" t="s">
        <v>584</v>
      </c>
      <c r="C186" s="124" t="s">
        <v>581</v>
      </c>
      <c r="D186" s="179" t="s">
        <v>283</v>
      </c>
      <c r="E186" s="162">
        <v>1</v>
      </c>
      <c r="F186" s="186"/>
      <c r="G186" s="186"/>
      <c r="H186" s="186"/>
    </row>
    <row r="187" spans="1:8" s="187" customFormat="1" ht="15.75" outlineLevel="3" x14ac:dyDescent="0.2">
      <c r="A187" s="191" t="s">
        <v>876</v>
      </c>
      <c r="B187" s="124" t="s">
        <v>586</v>
      </c>
      <c r="C187" s="124" t="s">
        <v>585</v>
      </c>
      <c r="D187" s="179" t="s">
        <v>250</v>
      </c>
      <c r="E187" s="162">
        <v>1</v>
      </c>
      <c r="F187" s="186"/>
      <c r="G187" s="186"/>
      <c r="H187" s="186"/>
    </row>
    <row r="188" spans="1:8" s="196" customFormat="1" ht="25.5" outlineLevel="2" x14ac:dyDescent="0.2">
      <c r="A188" s="208" t="s">
        <v>287</v>
      </c>
      <c r="B188" s="93" t="s">
        <v>239</v>
      </c>
      <c r="C188" s="93" t="s">
        <v>882</v>
      </c>
      <c r="D188" s="181" t="s">
        <v>250</v>
      </c>
      <c r="E188" s="158">
        <v>1</v>
      </c>
      <c r="F188" s="195"/>
      <c r="G188" s="195"/>
      <c r="H188" s="195"/>
    </row>
    <row r="189" spans="1:8" s="187" customFormat="1" ht="15.75" outlineLevel="3" x14ac:dyDescent="0.2">
      <c r="A189" s="191"/>
      <c r="B189" s="124"/>
      <c r="C189" s="201" t="s">
        <v>587</v>
      </c>
      <c r="D189" s="179"/>
      <c r="E189" s="162"/>
      <c r="F189" s="186"/>
      <c r="G189" s="186"/>
      <c r="H189" s="186"/>
    </row>
    <row r="190" spans="1:8" s="187" customFormat="1" ht="25.5" outlineLevel="3" x14ac:dyDescent="0.2">
      <c r="A190" s="191" t="s">
        <v>877</v>
      </c>
      <c r="B190" s="124" t="s">
        <v>588</v>
      </c>
      <c r="C190" s="124" t="s">
        <v>463</v>
      </c>
      <c r="D190" s="179" t="s">
        <v>283</v>
      </c>
      <c r="E190" s="162">
        <v>1</v>
      </c>
      <c r="F190" s="186"/>
      <c r="G190" s="186"/>
      <c r="H190" s="186"/>
    </row>
    <row r="191" spans="1:8" s="187" customFormat="1" ht="25.5" outlineLevel="3" x14ac:dyDescent="0.2">
      <c r="A191" s="191" t="s">
        <v>878</v>
      </c>
      <c r="B191" s="124" t="s">
        <v>589</v>
      </c>
      <c r="C191" s="124" t="s">
        <v>465</v>
      </c>
      <c r="D191" s="179" t="s">
        <v>283</v>
      </c>
      <c r="E191" s="162">
        <v>1</v>
      </c>
      <c r="F191" s="186"/>
      <c r="G191" s="186"/>
      <c r="H191" s="186"/>
    </row>
    <row r="192" spans="1:8" s="187" customFormat="1" ht="15.75" outlineLevel="3" x14ac:dyDescent="0.2">
      <c r="A192" s="191" t="s">
        <v>879</v>
      </c>
      <c r="B192" s="124" t="s">
        <v>591</v>
      </c>
      <c r="C192" s="124" t="s">
        <v>590</v>
      </c>
      <c r="D192" s="179" t="s">
        <v>250</v>
      </c>
      <c r="E192" s="162">
        <v>1</v>
      </c>
      <c r="F192" s="186"/>
      <c r="G192" s="186"/>
      <c r="H192" s="186"/>
    </row>
    <row r="193" spans="1:8" s="187" customFormat="1" ht="15.75" outlineLevel="3" x14ac:dyDescent="0.2">
      <c r="A193" s="191" t="s">
        <v>880</v>
      </c>
      <c r="B193" s="124" t="s">
        <v>593</v>
      </c>
      <c r="C193" s="124" t="s">
        <v>592</v>
      </c>
      <c r="D193" s="179" t="s">
        <v>250</v>
      </c>
      <c r="E193" s="162">
        <v>1</v>
      </c>
      <c r="F193" s="186"/>
      <c r="G193" s="186"/>
      <c r="H193" s="186"/>
    </row>
    <row r="194" spans="1:8" s="187" customFormat="1" ht="15.75" outlineLevel="3" x14ac:dyDescent="0.2">
      <c r="A194" s="191" t="s">
        <v>881</v>
      </c>
      <c r="B194" s="124" t="s">
        <v>595</v>
      </c>
      <c r="C194" s="124" t="s">
        <v>594</v>
      </c>
      <c r="D194" s="179" t="s">
        <v>250</v>
      </c>
      <c r="E194" s="162">
        <v>1</v>
      </c>
      <c r="F194" s="186"/>
      <c r="G194" s="186"/>
      <c r="H194" s="186"/>
    </row>
    <row r="195" spans="1:8" s="196" customFormat="1" ht="25.5" outlineLevel="2" x14ac:dyDescent="0.2">
      <c r="A195" s="208" t="s">
        <v>288</v>
      </c>
      <c r="B195" s="93" t="s">
        <v>240</v>
      </c>
      <c r="C195" s="93" t="s">
        <v>596</v>
      </c>
      <c r="D195" s="181" t="s">
        <v>250</v>
      </c>
      <c r="E195" s="158">
        <v>1</v>
      </c>
      <c r="F195" s="202" t="s">
        <v>600</v>
      </c>
      <c r="G195" s="195"/>
      <c r="H195" s="195"/>
    </row>
    <row r="196" spans="1:8" s="187" customFormat="1" ht="51" outlineLevel="3" x14ac:dyDescent="0.2">
      <c r="A196" s="191" t="s">
        <v>884</v>
      </c>
      <c r="B196" s="124" t="s">
        <v>597</v>
      </c>
      <c r="C196" s="124" t="s">
        <v>473</v>
      </c>
      <c r="D196" s="180" t="s">
        <v>283</v>
      </c>
      <c r="E196" s="162">
        <v>1</v>
      </c>
      <c r="F196" s="186"/>
      <c r="G196" s="186"/>
      <c r="H196" s="186"/>
    </row>
    <row r="197" spans="1:8" s="187" customFormat="1" ht="51" outlineLevel="3" x14ac:dyDescent="0.2">
      <c r="A197" s="191" t="s">
        <v>885</v>
      </c>
      <c r="B197" s="124" t="s">
        <v>598</v>
      </c>
      <c r="C197" s="124" t="s">
        <v>475</v>
      </c>
      <c r="D197" s="180" t="s">
        <v>283</v>
      </c>
      <c r="E197" s="162">
        <v>1</v>
      </c>
      <c r="F197" s="186"/>
      <c r="G197" s="186"/>
      <c r="H197" s="186"/>
    </row>
    <row r="198" spans="1:8" s="187" customFormat="1" ht="63.75" outlineLevel="3" x14ac:dyDescent="0.2">
      <c r="A198" s="191" t="s">
        <v>886</v>
      </c>
      <c r="B198" s="124" t="s">
        <v>599</v>
      </c>
      <c r="C198" s="124" t="s">
        <v>477</v>
      </c>
      <c r="D198" s="180" t="s">
        <v>283</v>
      </c>
      <c r="E198" s="162">
        <v>1</v>
      </c>
      <c r="F198" s="186"/>
      <c r="G198" s="186"/>
      <c r="H198" s="186"/>
    </row>
    <row r="199" spans="1:8" s="196" customFormat="1" ht="38.25" outlineLevel="2" x14ac:dyDescent="0.2">
      <c r="A199" s="208" t="s">
        <v>289</v>
      </c>
      <c r="B199" s="93" t="s">
        <v>241</v>
      </c>
      <c r="C199" s="93" t="s">
        <v>601</v>
      </c>
      <c r="D199" s="181" t="s">
        <v>250</v>
      </c>
      <c r="E199" s="158">
        <v>1</v>
      </c>
      <c r="F199" s="202" t="s">
        <v>608</v>
      </c>
      <c r="G199" s="195"/>
      <c r="H199" s="195"/>
    </row>
    <row r="200" spans="1:8" s="187" customFormat="1" ht="15.75" outlineLevel="3" x14ac:dyDescent="0.2">
      <c r="A200" s="191" t="s">
        <v>887</v>
      </c>
      <c r="B200" s="124" t="s">
        <v>604</v>
      </c>
      <c r="C200" s="124" t="s">
        <v>602</v>
      </c>
      <c r="D200" s="180" t="s">
        <v>250</v>
      </c>
      <c r="E200" s="162">
        <v>1</v>
      </c>
      <c r="F200" s="186"/>
      <c r="G200" s="186"/>
      <c r="H200" s="186"/>
    </row>
    <row r="201" spans="1:8" s="187" customFormat="1" ht="15.75" outlineLevel="3" x14ac:dyDescent="0.2">
      <c r="A201" s="191" t="s">
        <v>888</v>
      </c>
      <c r="B201" s="124" t="s">
        <v>605</v>
      </c>
      <c r="C201" s="124" t="s">
        <v>603</v>
      </c>
      <c r="D201" s="180" t="s">
        <v>250</v>
      </c>
      <c r="E201" s="162">
        <v>1</v>
      </c>
      <c r="F201" s="186"/>
      <c r="G201" s="186"/>
      <c r="H201" s="186"/>
    </row>
    <row r="202" spans="1:8" s="187" customFormat="1" ht="25.5" outlineLevel="3" x14ac:dyDescent="0.2">
      <c r="A202" s="191" t="s">
        <v>889</v>
      </c>
      <c r="B202" s="124" t="s">
        <v>607</v>
      </c>
      <c r="C202" s="124" t="s">
        <v>606</v>
      </c>
      <c r="D202" s="179" t="s">
        <v>250</v>
      </c>
      <c r="E202" s="162">
        <v>1</v>
      </c>
      <c r="F202" s="186"/>
      <c r="G202" s="186"/>
      <c r="H202" s="186"/>
    </row>
    <row r="203" spans="1:8" s="187" customFormat="1" ht="15.75" outlineLevel="3" x14ac:dyDescent="0.2">
      <c r="A203" s="191"/>
      <c r="B203" s="124"/>
      <c r="C203" s="201" t="s">
        <v>609</v>
      </c>
      <c r="D203" s="179"/>
      <c r="E203" s="162"/>
      <c r="F203" s="186"/>
      <c r="G203" s="186"/>
      <c r="H203" s="186"/>
    </row>
    <row r="204" spans="1:8" s="187" customFormat="1" ht="15.75" outlineLevel="3" x14ac:dyDescent="0.2">
      <c r="A204" s="191" t="s">
        <v>890</v>
      </c>
      <c r="B204" s="124" t="s">
        <v>614</v>
      </c>
      <c r="C204" s="124" t="s">
        <v>610</v>
      </c>
      <c r="D204" s="179" t="s">
        <v>283</v>
      </c>
      <c r="E204" s="162">
        <v>2</v>
      </c>
      <c r="F204" s="186"/>
      <c r="G204" s="186"/>
      <c r="H204" s="186"/>
    </row>
    <row r="205" spans="1:8" s="187" customFormat="1" ht="15.75" outlineLevel="3" x14ac:dyDescent="0.2">
      <c r="A205" s="191" t="s">
        <v>891</v>
      </c>
      <c r="B205" s="124" t="s">
        <v>615</v>
      </c>
      <c r="C205" s="124" t="s">
        <v>611</v>
      </c>
      <c r="D205" s="179" t="s">
        <v>283</v>
      </c>
      <c r="E205" s="162">
        <v>3</v>
      </c>
      <c r="F205" s="186"/>
      <c r="G205" s="186"/>
      <c r="H205" s="186"/>
    </row>
    <row r="206" spans="1:8" s="187" customFormat="1" ht="38.25" outlineLevel="3" x14ac:dyDescent="0.2">
      <c r="A206" s="191" t="s">
        <v>892</v>
      </c>
      <c r="B206" s="124" t="s">
        <v>616</v>
      </c>
      <c r="C206" s="124" t="s">
        <v>612</v>
      </c>
      <c r="D206" s="179" t="s">
        <v>283</v>
      </c>
      <c r="E206" s="162">
        <v>2</v>
      </c>
      <c r="F206" s="189" t="s">
        <v>613</v>
      </c>
      <c r="G206" s="186"/>
      <c r="H206" s="186"/>
    </row>
    <row r="207" spans="1:8" ht="25.5" outlineLevel="2" x14ac:dyDescent="0.2">
      <c r="A207" s="206" t="s">
        <v>290</v>
      </c>
      <c r="B207" s="93" t="s">
        <v>242</v>
      </c>
      <c r="C207" s="93" t="s">
        <v>619</v>
      </c>
      <c r="D207" s="178" t="s">
        <v>250</v>
      </c>
      <c r="E207" s="158">
        <v>1</v>
      </c>
      <c r="F207" s="183" t="s">
        <v>600</v>
      </c>
      <c r="G207" s="182"/>
      <c r="H207" s="182"/>
    </row>
    <row r="208" spans="1:8" s="187" customFormat="1" ht="25.5" outlineLevel="3" x14ac:dyDescent="0.2">
      <c r="A208" s="191" t="s">
        <v>893</v>
      </c>
      <c r="B208" s="124" t="s">
        <v>618</v>
      </c>
      <c r="C208" s="124" t="s">
        <v>617</v>
      </c>
      <c r="D208" s="180" t="s">
        <v>250</v>
      </c>
      <c r="E208" s="162">
        <v>1</v>
      </c>
      <c r="F208" s="186"/>
      <c r="G208" s="186"/>
      <c r="H208" s="186"/>
    </row>
    <row r="209" spans="1:8" s="187" customFormat="1" ht="15.75" outlineLevel="3" x14ac:dyDescent="0.2">
      <c r="A209" s="191" t="s">
        <v>894</v>
      </c>
      <c r="B209" s="124" t="s">
        <v>621</v>
      </c>
      <c r="C209" s="124" t="s">
        <v>620</v>
      </c>
      <c r="D209" s="180" t="s">
        <v>250</v>
      </c>
      <c r="E209" s="162">
        <v>1</v>
      </c>
      <c r="F209" s="186"/>
      <c r="G209" s="186"/>
      <c r="H209" s="186"/>
    </row>
    <row r="210" spans="1:8" s="196" customFormat="1" ht="25.5" outlineLevel="2" x14ac:dyDescent="0.2">
      <c r="A210" s="208" t="s">
        <v>291</v>
      </c>
      <c r="B210" s="93" t="s">
        <v>243</v>
      </c>
      <c r="C210" s="93" t="s">
        <v>622</v>
      </c>
      <c r="D210" s="178" t="s">
        <v>250</v>
      </c>
      <c r="E210" s="158">
        <v>1</v>
      </c>
      <c r="F210" s="202" t="s">
        <v>600</v>
      </c>
      <c r="G210" s="195"/>
      <c r="H210" s="195"/>
    </row>
    <row r="211" spans="1:8" ht="15.75" outlineLevel="2" x14ac:dyDescent="0.2">
      <c r="A211" s="191" t="s">
        <v>895</v>
      </c>
      <c r="B211" s="124" t="s">
        <v>624</v>
      </c>
      <c r="C211" s="124" t="s">
        <v>623</v>
      </c>
      <c r="D211" s="180" t="s">
        <v>250</v>
      </c>
      <c r="E211" s="162">
        <v>1</v>
      </c>
      <c r="F211" s="182"/>
      <c r="G211" s="182"/>
      <c r="H211" s="182"/>
    </row>
    <row r="212" spans="1:8" ht="15.75" outlineLevel="2" x14ac:dyDescent="0.2">
      <c r="A212" s="191" t="s">
        <v>896</v>
      </c>
      <c r="B212" s="124" t="s">
        <v>626</v>
      </c>
      <c r="C212" s="124" t="s">
        <v>625</v>
      </c>
      <c r="D212" s="180" t="s">
        <v>250</v>
      </c>
      <c r="E212" s="162">
        <v>1</v>
      </c>
      <c r="F212" s="182"/>
      <c r="G212" s="182"/>
      <c r="H212" s="182"/>
    </row>
    <row r="213" spans="1:8" s="196" customFormat="1" ht="15.75" outlineLevel="1" x14ac:dyDescent="0.2">
      <c r="A213" s="208" t="s">
        <v>292</v>
      </c>
      <c r="B213" s="93" t="s">
        <v>32</v>
      </c>
      <c r="C213" s="93" t="s">
        <v>33</v>
      </c>
      <c r="D213" s="178" t="s">
        <v>250</v>
      </c>
      <c r="E213" s="158">
        <v>1</v>
      </c>
      <c r="F213" s="195"/>
      <c r="G213" s="195"/>
      <c r="H213" s="195"/>
    </row>
    <row r="214" spans="1:8" s="196" customFormat="1" ht="25.5" outlineLevel="2" x14ac:dyDescent="0.2">
      <c r="A214" s="208" t="s">
        <v>897</v>
      </c>
      <c r="B214" s="93" t="s">
        <v>185</v>
      </c>
      <c r="C214" s="93" t="s">
        <v>186</v>
      </c>
      <c r="D214" s="178" t="s">
        <v>250</v>
      </c>
      <c r="E214" s="158">
        <v>1</v>
      </c>
      <c r="F214" s="195"/>
      <c r="G214" s="195"/>
      <c r="H214" s="195"/>
    </row>
    <row r="215" spans="1:8" ht="15.75" outlineLevel="3" x14ac:dyDescent="0.2">
      <c r="A215" s="191" t="s">
        <v>898</v>
      </c>
      <c r="B215" s="124" t="s">
        <v>627</v>
      </c>
      <c r="C215" s="124" t="s">
        <v>279</v>
      </c>
      <c r="D215" s="180" t="s">
        <v>250</v>
      </c>
      <c r="E215" s="162">
        <v>1</v>
      </c>
      <c r="F215" s="182"/>
      <c r="G215" s="182"/>
      <c r="H215" s="182"/>
    </row>
    <row r="216" spans="1:8" ht="15.75" outlineLevel="3" x14ac:dyDescent="0.2">
      <c r="A216" s="191" t="s">
        <v>899</v>
      </c>
      <c r="B216" s="124" t="s">
        <v>629</v>
      </c>
      <c r="C216" s="124" t="s">
        <v>628</v>
      </c>
      <c r="D216" s="180" t="s">
        <v>250</v>
      </c>
      <c r="E216" s="162">
        <v>1</v>
      </c>
      <c r="F216" s="182"/>
      <c r="G216" s="182"/>
      <c r="H216" s="182"/>
    </row>
    <row r="217" spans="1:8" ht="15.75" outlineLevel="3" x14ac:dyDescent="0.2">
      <c r="A217" s="191" t="s">
        <v>900</v>
      </c>
      <c r="B217" s="124" t="s">
        <v>631</v>
      </c>
      <c r="C217" s="124" t="s">
        <v>630</v>
      </c>
      <c r="D217" s="180" t="s">
        <v>250</v>
      </c>
      <c r="E217" s="162">
        <v>1</v>
      </c>
      <c r="F217" s="182"/>
      <c r="G217" s="182"/>
      <c r="H217" s="182"/>
    </row>
    <row r="218" spans="1:8" ht="15.75" outlineLevel="3" x14ac:dyDescent="0.2">
      <c r="A218" s="191" t="s">
        <v>901</v>
      </c>
      <c r="B218" s="124" t="s">
        <v>632</v>
      </c>
      <c r="C218" s="124" t="s">
        <v>443</v>
      </c>
      <c r="D218" s="180" t="s">
        <v>250</v>
      </c>
      <c r="E218" s="162">
        <v>1</v>
      </c>
      <c r="F218" s="182"/>
      <c r="G218" s="182"/>
      <c r="H218" s="182"/>
    </row>
    <row r="219" spans="1:8" ht="15.75" outlineLevel="3" x14ac:dyDescent="0.2">
      <c r="A219" s="191" t="s">
        <v>902</v>
      </c>
      <c r="B219" s="124" t="s">
        <v>634</v>
      </c>
      <c r="C219" s="124" t="s">
        <v>633</v>
      </c>
      <c r="D219" s="180" t="s">
        <v>250</v>
      </c>
      <c r="E219" s="162">
        <v>1</v>
      </c>
      <c r="F219" s="182"/>
      <c r="G219" s="182"/>
      <c r="H219" s="182"/>
    </row>
    <row r="220" spans="1:8" ht="15.75" outlineLevel="3" x14ac:dyDescent="0.2">
      <c r="A220" s="191" t="s">
        <v>903</v>
      </c>
      <c r="B220" s="124" t="s">
        <v>636</v>
      </c>
      <c r="C220" s="124" t="s">
        <v>635</v>
      </c>
      <c r="D220" s="180" t="s">
        <v>250</v>
      </c>
      <c r="E220" s="162">
        <v>1</v>
      </c>
      <c r="F220" s="182"/>
      <c r="G220" s="182"/>
      <c r="H220" s="182"/>
    </row>
    <row r="221" spans="1:8" ht="15.75" outlineLevel="3" x14ac:dyDescent="0.2">
      <c r="A221" s="191" t="s">
        <v>904</v>
      </c>
      <c r="B221" s="124" t="s">
        <v>638</v>
      </c>
      <c r="C221" s="124" t="s">
        <v>637</v>
      </c>
      <c r="D221" s="180" t="s">
        <v>271</v>
      </c>
      <c r="E221" s="173">
        <f>21.2</f>
        <v>21.2</v>
      </c>
      <c r="F221" s="182"/>
      <c r="G221" s="182"/>
      <c r="H221" s="182"/>
    </row>
    <row r="222" spans="1:8" s="196" customFormat="1" ht="15.75" outlineLevel="2" x14ac:dyDescent="0.2">
      <c r="A222" s="208" t="s">
        <v>905</v>
      </c>
      <c r="B222" s="93" t="s">
        <v>187</v>
      </c>
      <c r="C222" s="93" t="s">
        <v>188</v>
      </c>
      <c r="D222" s="178" t="s">
        <v>250</v>
      </c>
      <c r="E222" s="158">
        <v>1</v>
      </c>
      <c r="F222" s="195"/>
      <c r="G222" s="195"/>
      <c r="H222" s="195"/>
    </row>
    <row r="223" spans="1:8" ht="15.75" outlineLevel="3" x14ac:dyDescent="0.2">
      <c r="A223" s="191" t="s">
        <v>906</v>
      </c>
      <c r="B223" s="124" t="s">
        <v>640</v>
      </c>
      <c r="C223" s="124" t="s">
        <v>639</v>
      </c>
      <c r="D223" s="180" t="s">
        <v>250</v>
      </c>
      <c r="E223" s="162">
        <v>1</v>
      </c>
      <c r="F223" s="182"/>
      <c r="G223" s="182"/>
      <c r="H223" s="182"/>
    </row>
    <row r="224" spans="1:8" ht="25.5" outlineLevel="3" x14ac:dyDescent="0.2">
      <c r="A224" s="191" t="s">
        <v>907</v>
      </c>
      <c r="B224" s="124" t="s">
        <v>642</v>
      </c>
      <c r="C224" s="124" t="s">
        <v>641</v>
      </c>
      <c r="D224" s="180" t="s">
        <v>283</v>
      </c>
      <c r="E224" s="162">
        <v>1</v>
      </c>
      <c r="F224" s="182"/>
      <c r="G224" s="182"/>
      <c r="H224" s="182"/>
    </row>
    <row r="225" spans="1:8" s="196" customFormat="1" ht="25.5" outlineLevel="1" x14ac:dyDescent="0.2">
      <c r="A225" s="208" t="s">
        <v>293</v>
      </c>
      <c r="B225" s="93" t="s">
        <v>34</v>
      </c>
      <c r="C225" s="93" t="s">
        <v>35</v>
      </c>
      <c r="D225" s="178" t="s">
        <v>250</v>
      </c>
      <c r="E225" s="158">
        <v>1</v>
      </c>
      <c r="F225" s="195"/>
      <c r="G225" s="195"/>
      <c r="H225" s="195"/>
    </row>
    <row r="226" spans="1:8" ht="15.75" outlineLevel="2" x14ac:dyDescent="0.2">
      <c r="A226" s="191"/>
      <c r="B226" s="93"/>
      <c r="C226" s="201" t="s">
        <v>279</v>
      </c>
      <c r="D226" s="180"/>
      <c r="E226" s="162"/>
      <c r="F226" s="182"/>
      <c r="G226" s="182"/>
      <c r="H226" s="182"/>
    </row>
    <row r="227" spans="1:8" s="187" customFormat="1" ht="25.5" outlineLevel="2" x14ac:dyDescent="0.2">
      <c r="A227" s="191" t="s">
        <v>908</v>
      </c>
      <c r="B227" s="124" t="s">
        <v>643</v>
      </c>
      <c r="C227" s="124" t="s">
        <v>265</v>
      </c>
      <c r="D227" s="180" t="s">
        <v>262</v>
      </c>
      <c r="E227" s="174">
        <f>79.93</f>
        <v>79.930000000000007</v>
      </c>
      <c r="F227" s="189" t="s">
        <v>647</v>
      </c>
      <c r="G227" s="186"/>
      <c r="H227" s="186"/>
    </row>
    <row r="228" spans="1:8" s="187" customFormat="1" ht="63.75" outlineLevel="2" x14ac:dyDescent="0.2">
      <c r="A228" s="191" t="s">
        <v>909</v>
      </c>
      <c r="B228" s="124" t="s">
        <v>645</v>
      </c>
      <c r="C228" s="124" t="s">
        <v>644</v>
      </c>
      <c r="D228" s="180" t="s">
        <v>262</v>
      </c>
      <c r="E228" s="174">
        <f>51.73+25.2</f>
        <v>76.930000000000007</v>
      </c>
      <c r="F228" s="189" t="s">
        <v>646</v>
      </c>
      <c r="G228" s="186"/>
      <c r="H228" s="186"/>
    </row>
    <row r="229" spans="1:8" s="187" customFormat="1" ht="15.75" outlineLevel="2" x14ac:dyDescent="0.2">
      <c r="A229" s="191" t="s">
        <v>910</v>
      </c>
      <c r="B229" s="124" t="s">
        <v>648</v>
      </c>
      <c r="C229" s="124" t="s">
        <v>343</v>
      </c>
      <c r="D229" s="180" t="s">
        <v>262</v>
      </c>
      <c r="E229" s="174">
        <f>51.73</f>
        <v>51.73</v>
      </c>
      <c r="F229" s="203"/>
      <c r="G229" s="186"/>
      <c r="H229" s="186"/>
    </row>
    <row r="230" spans="1:8" s="187" customFormat="1" ht="25.5" outlineLevel="2" x14ac:dyDescent="0.2">
      <c r="A230" s="191" t="s">
        <v>911</v>
      </c>
      <c r="B230" s="124" t="s">
        <v>651</v>
      </c>
      <c r="C230" s="124" t="s">
        <v>649</v>
      </c>
      <c r="D230" s="180" t="s">
        <v>363</v>
      </c>
      <c r="E230" s="162">
        <v>210</v>
      </c>
      <c r="F230" s="189" t="s">
        <v>650</v>
      </c>
      <c r="G230" s="186"/>
      <c r="H230" s="186"/>
    </row>
    <row r="231" spans="1:8" s="187" customFormat="1" ht="15.75" outlineLevel="2" x14ac:dyDescent="0.2">
      <c r="A231" s="191" t="s">
        <v>912</v>
      </c>
      <c r="B231" s="124" t="s">
        <v>652</v>
      </c>
      <c r="C231" s="124" t="s">
        <v>364</v>
      </c>
      <c r="D231" s="180" t="s">
        <v>250</v>
      </c>
      <c r="E231" s="162">
        <v>1</v>
      </c>
      <c r="F231" s="186"/>
      <c r="G231" s="186"/>
      <c r="H231" s="186"/>
    </row>
    <row r="232" spans="1:8" s="196" customFormat="1" ht="25.5" outlineLevel="1" x14ac:dyDescent="0.2">
      <c r="A232" s="208" t="s">
        <v>294</v>
      </c>
      <c r="B232" s="93" t="s">
        <v>36</v>
      </c>
      <c r="C232" s="93" t="s">
        <v>37</v>
      </c>
      <c r="D232" s="178" t="s">
        <v>250</v>
      </c>
      <c r="E232" s="158">
        <v>1</v>
      </c>
      <c r="F232" s="195"/>
      <c r="G232" s="195"/>
      <c r="H232" s="195"/>
    </row>
    <row r="233" spans="1:8" s="187" customFormat="1" ht="15.75" outlineLevel="2" x14ac:dyDescent="0.2">
      <c r="A233" s="191"/>
      <c r="B233" s="124"/>
      <c r="C233" s="201" t="s">
        <v>279</v>
      </c>
      <c r="D233" s="180"/>
      <c r="E233" s="162"/>
      <c r="F233" s="186"/>
      <c r="G233" s="186"/>
      <c r="H233" s="186"/>
    </row>
    <row r="234" spans="1:8" s="187" customFormat="1" ht="25.5" outlineLevel="2" x14ac:dyDescent="0.2">
      <c r="A234" s="191" t="s">
        <v>914</v>
      </c>
      <c r="B234" s="124" t="s">
        <v>653</v>
      </c>
      <c r="C234" s="124" t="s">
        <v>265</v>
      </c>
      <c r="D234" s="180" t="s">
        <v>262</v>
      </c>
      <c r="E234" s="174">
        <f>47.26</f>
        <v>47.26</v>
      </c>
      <c r="F234" s="186"/>
      <c r="G234" s="186"/>
      <c r="H234" s="186"/>
    </row>
    <row r="235" spans="1:8" s="187" customFormat="1" ht="63.75" outlineLevel="2" x14ac:dyDescent="0.2">
      <c r="A235" s="191" t="s">
        <v>915</v>
      </c>
      <c r="B235" s="124" t="s">
        <v>655</v>
      </c>
      <c r="C235" s="124" t="s">
        <v>654</v>
      </c>
      <c r="D235" s="180" t="s">
        <v>262</v>
      </c>
      <c r="E235" s="174">
        <f>31.78+15.48</f>
        <v>47.26</v>
      </c>
      <c r="F235" s="189" t="s">
        <v>646</v>
      </c>
      <c r="G235" s="186"/>
      <c r="H235" s="186"/>
    </row>
    <row r="236" spans="1:8" s="187" customFormat="1" ht="15.75" outlineLevel="2" x14ac:dyDescent="0.2">
      <c r="A236" s="191" t="s">
        <v>916</v>
      </c>
      <c r="B236" s="124" t="s">
        <v>656</v>
      </c>
      <c r="C236" s="124" t="s">
        <v>343</v>
      </c>
      <c r="D236" s="180" t="s">
        <v>262</v>
      </c>
      <c r="E236" s="174">
        <f>31.78</f>
        <v>31.78</v>
      </c>
      <c r="F236" s="186"/>
      <c r="G236" s="186"/>
      <c r="H236" s="186"/>
    </row>
    <row r="237" spans="1:8" s="187" customFormat="1" ht="63.75" outlineLevel="2" x14ac:dyDescent="0.2">
      <c r="A237" s="191" t="s">
        <v>917</v>
      </c>
      <c r="B237" s="124" t="s">
        <v>658</v>
      </c>
      <c r="C237" s="124" t="s">
        <v>657</v>
      </c>
      <c r="D237" s="180" t="s">
        <v>363</v>
      </c>
      <c r="E237" s="162">
        <v>258</v>
      </c>
      <c r="F237" s="189" t="s">
        <v>913</v>
      </c>
      <c r="G237" s="186"/>
      <c r="H237" s="186"/>
    </row>
    <row r="238" spans="1:8" s="187" customFormat="1" ht="15.75" outlineLevel="2" x14ac:dyDescent="0.2">
      <c r="A238" s="191" t="s">
        <v>918</v>
      </c>
      <c r="B238" s="124" t="s">
        <v>659</v>
      </c>
      <c r="C238" s="124" t="s">
        <v>364</v>
      </c>
      <c r="D238" s="180" t="s">
        <v>250</v>
      </c>
      <c r="E238" s="162">
        <v>1</v>
      </c>
      <c r="F238" s="186"/>
      <c r="G238" s="186"/>
      <c r="H238" s="186"/>
    </row>
    <row r="239" spans="1:8" s="196" customFormat="1" ht="15.75" outlineLevel="1" x14ac:dyDescent="0.2">
      <c r="A239" s="208" t="s">
        <v>919</v>
      </c>
      <c r="B239" s="93" t="s">
        <v>40</v>
      </c>
      <c r="C239" s="93" t="s">
        <v>102</v>
      </c>
      <c r="D239" s="178" t="s">
        <v>250</v>
      </c>
      <c r="E239" s="158">
        <v>1</v>
      </c>
      <c r="F239" s="195"/>
      <c r="G239" s="195"/>
      <c r="H239" s="195"/>
    </row>
    <row r="240" spans="1:8" s="196" customFormat="1" ht="15.75" outlineLevel="1" x14ac:dyDescent="0.2">
      <c r="A240" s="208" t="s">
        <v>920</v>
      </c>
      <c r="B240" s="93" t="s">
        <v>43</v>
      </c>
      <c r="C240" s="93" t="s">
        <v>130</v>
      </c>
      <c r="D240" s="178" t="s">
        <v>250</v>
      </c>
      <c r="E240" s="158">
        <v>1</v>
      </c>
      <c r="F240" s="195"/>
      <c r="G240" s="195"/>
      <c r="H240" s="195"/>
    </row>
    <row r="241" spans="1:8" s="187" customFormat="1" ht="15.75" outlineLevel="2" x14ac:dyDescent="0.2">
      <c r="A241" s="191"/>
      <c r="B241" s="124"/>
      <c r="C241" s="201" t="s">
        <v>660</v>
      </c>
      <c r="D241" s="180"/>
      <c r="E241" s="162"/>
      <c r="F241" s="186"/>
      <c r="G241" s="186"/>
      <c r="H241" s="186"/>
    </row>
    <row r="242" spans="1:8" s="187" customFormat="1" ht="15.75" outlineLevel="2" x14ac:dyDescent="0.2">
      <c r="A242" s="191" t="s">
        <v>921</v>
      </c>
      <c r="B242" s="124" t="s">
        <v>665</v>
      </c>
      <c r="C242" s="124" t="s">
        <v>664</v>
      </c>
      <c r="D242" s="180" t="s">
        <v>271</v>
      </c>
      <c r="E242" s="162">
        <v>1202</v>
      </c>
      <c r="F242" s="186"/>
      <c r="G242" s="186"/>
      <c r="H242" s="186"/>
    </row>
    <row r="243" spans="1:8" s="187" customFormat="1" ht="25.5" outlineLevel="2" x14ac:dyDescent="0.2">
      <c r="A243" s="191" t="s">
        <v>922</v>
      </c>
      <c r="B243" s="124" t="s">
        <v>662</v>
      </c>
      <c r="C243" s="124" t="s">
        <v>661</v>
      </c>
      <c r="D243" s="180" t="s">
        <v>262</v>
      </c>
      <c r="E243" s="162">
        <f>2473</f>
        <v>2473</v>
      </c>
      <c r="F243" s="186"/>
      <c r="G243" s="186"/>
      <c r="H243" s="186"/>
    </row>
    <row r="244" spans="1:8" s="187" customFormat="1" ht="51" outlineLevel="2" x14ac:dyDescent="0.2">
      <c r="A244" s="191" t="s">
        <v>923</v>
      </c>
      <c r="B244" s="124" t="s">
        <v>663</v>
      </c>
      <c r="C244" s="124" t="s">
        <v>666</v>
      </c>
      <c r="D244" s="180" t="s">
        <v>262</v>
      </c>
      <c r="E244" s="162">
        <v>2473</v>
      </c>
      <c r="F244" s="189" t="s">
        <v>925</v>
      </c>
      <c r="G244" s="186"/>
      <c r="H244" s="186"/>
    </row>
    <row r="245" spans="1:8" s="187" customFormat="1" ht="25.5" outlineLevel="2" x14ac:dyDescent="0.2">
      <c r="A245" s="191" t="s">
        <v>924</v>
      </c>
      <c r="B245" s="124" t="s">
        <v>667</v>
      </c>
      <c r="C245" s="124" t="s">
        <v>668</v>
      </c>
      <c r="D245" s="180" t="s">
        <v>271</v>
      </c>
      <c r="E245" s="162">
        <v>300</v>
      </c>
      <c r="F245" s="186"/>
      <c r="G245" s="186"/>
      <c r="H245" s="186"/>
    </row>
    <row r="246" spans="1:8" s="187" customFormat="1" ht="15.75" outlineLevel="2" x14ac:dyDescent="0.2">
      <c r="A246" s="191"/>
      <c r="B246" s="124"/>
      <c r="C246" s="201" t="s">
        <v>669</v>
      </c>
      <c r="D246" s="180"/>
      <c r="E246" s="162"/>
      <c r="F246" s="186"/>
      <c r="G246" s="186"/>
      <c r="H246" s="186"/>
    </row>
    <row r="247" spans="1:8" s="187" customFormat="1" ht="15.75" outlineLevel="2" x14ac:dyDescent="0.2">
      <c r="A247" s="191" t="s">
        <v>926</v>
      </c>
      <c r="B247" s="124" t="s">
        <v>670</v>
      </c>
      <c r="C247" s="124" t="s">
        <v>664</v>
      </c>
      <c r="D247" s="180" t="s">
        <v>271</v>
      </c>
      <c r="E247" s="162">
        <v>991</v>
      </c>
      <c r="F247" s="186"/>
      <c r="G247" s="186"/>
      <c r="H247" s="186"/>
    </row>
    <row r="248" spans="1:8" s="187" customFormat="1" ht="38.25" outlineLevel="2" x14ac:dyDescent="0.2">
      <c r="A248" s="191" t="s">
        <v>927</v>
      </c>
      <c r="B248" s="124" t="s">
        <v>672</v>
      </c>
      <c r="C248" s="124" t="s">
        <v>671</v>
      </c>
      <c r="D248" s="180" t="s">
        <v>262</v>
      </c>
      <c r="E248" s="162">
        <v>1</v>
      </c>
      <c r="F248" s="186"/>
      <c r="G248" s="186"/>
      <c r="H248" s="186"/>
    </row>
    <row r="249" spans="1:8" s="187" customFormat="1" ht="25.5" outlineLevel="2" x14ac:dyDescent="0.2">
      <c r="A249" s="191" t="s">
        <v>928</v>
      </c>
      <c r="B249" s="124" t="s">
        <v>674</v>
      </c>
      <c r="C249" s="124" t="s">
        <v>666</v>
      </c>
      <c r="D249" s="180" t="s">
        <v>262</v>
      </c>
      <c r="E249" s="162">
        <v>751</v>
      </c>
      <c r="F249" s="186" t="s">
        <v>673</v>
      </c>
      <c r="G249" s="186"/>
      <c r="H249" s="186"/>
    </row>
    <row r="250" spans="1:8" s="187" customFormat="1" ht="25.5" outlineLevel="2" x14ac:dyDescent="0.2">
      <c r="A250" s="191" t="s">
        <v>929</v>
      </c>
      <c r="B250" s="124" t="s">
        <v>676</v>
      </c>
      <c r="C250" s="124" t="s">
        <v>675</v>
      </c>
      <c r="D250" s="180" t="s">
        <v>262</v>
      </c>
      <c r="E250" s="162">
        <v>751</v>
      </c>
      <c r="F250" s="186"/>
      <c r="G250" s="186"/>
      <c r="H250" s="186"/>
    </row>
    <row r="251" spans="1:8" s="187" customFormat="1" ht="25.5" outlineLevel="2" x14ac:dyDescent="0.2">
      <c r="A251" s="191" t="s">
        <v>930</v>
      </c>
      <c r="B251" s="124" t="s">
        <v>678</v>
      </c>
      <c r="C251" s="124" t="s">
        <v>677</v>
      </c>
      <c r="D251" s="180" t="s">
        <v>262</v>
      </c>
      <c r="E251" s="162">
        <v>38</v>
      </c>
      <c r="F251" s="189" t="s">
        <v>679</v>
      </c>
      <c r="G251" s="186"/>
      <c r="H251" s="186"/>
    </row>
    <row r="252" spans="1:8" s="187" customFormat="1" ht="25.5" outlineLevel="2" x14ac:dyDescent="0.2">
      <c r="A252" s="191" t="s">
        <v>931</v>
      </c>
      <c r="B252" s="124" t="s">
        <v>680</v>
      </c>
      <c r="C252" s="124" t="s">
        <v>668</v>
      </c>
      <c r="D252" s="180" t="s">
        <v>271</v>
      </c>
      <c r="E252" s="162">
        <v>408</v>
      </c>
      <c r="F252" s="189"/>
      <c r="G252" s="186"/>
      <c r="H252" s="186"/>
    </row>
    <row r="253" spans="1:8" s="196" customFormat="1" ht="15.75" outlineLevel="1" x14ac:dyDescent="0.2">
      <c r="A253" s="208" t="s">
        <v>932</v>
      </c>
      <c r="B253" s="93" t="s">
        <v>103</v>
      </c>
      <c r="C253" s="93" t="s">
        <v>104</v>
      </c>
      <c r="D253" s="178" t="s">
        <v>250</v>
      </c>
      <c r="E253" s="158">
        <v>1</v>
      </c>
      <c r="F253" s="195"/>
      <c r="G253" s="195"/>
      <c r="H253" s="195"/>
    </row>
    <row r="254" spans="1:8" s="187" customFormat="1" ht="38.25" outlineLevel="2" x14ac:dyDescent="0.2">
      <c r="A254" s="191" t="s">
        <v>933</v>
      </c>
      <c r="B254" s="124" t="s">
        <v>682</v>
      </c>
      <c r="C254" s="124" t="s">
        <v>706</v>
      </c>
      <c r="D254" s="180" t="s">
        <v>262</v>
      </c>
      <c r="E254" s="162">
        <v>618</v>
      </c>
      <c r="F254" s="189" t="s">
        <v>684</v>
      </c>
      <c r="G254" s="186"/>
      <c r="H254" s="186"/>
    </row>
    <row r="255" spans="1:8" s="187" customFormat="1" ht="38.25" outlineLevel="2" x14ac:dyDescent="0.2">
      <c r="A255" s="191" t="s">
        <v>934</v>
      </c>
      <c r="B255" s="124" t="s">
        <v>683</v>
      </c>
      <c r="C255" s="124" t="s">
        <v>704</v>
      </c>
      <c r="D255" s="180" t="s">
        <v>271</v>
      </c>
      <c r="E255" s="162">
        <v>2060</v>
      </c>
      <c r="F255" s="189" t="s">
        <v>705</v>
      </c>
      <c r="G255" s="186"/>
      <c r="H255" s="186"/>
    </row>
    <row r="256" spans="1:8" s="187" customFormat="1" ht="38.25" outlineLevel="2" x14ac:dyDescent="0.2">
      <c r="A256" s="191" t="s">
        <v>935</v>
      </c>
      <c r="B256" s="124" t="s">
        <v>685</v>
      </c>
      <c r="C256" s="124" t="s">
        <v>707</v>
      </c>
      <c r="D256" s="180" t="s">
        <v>262</v>
      </c>
      <c r="E256" s="162">
        <v>618</v>
      </c>
      <c r="F256" s="189" t="s">
        <v>708</v>
      </c>
      <c r="G256" s="186"/>
      <c r="H256" s="186"/>
    </row>
    <row r="257" spans="1:8" s="187" customFormat="1" ht="127.5" outlineLevel="2" x14ac:dyDescent="0.2">
      <c r="A257" s="191" t="s">
        <v>936</v>
      </c>
      <c r="B257" s="124" t="s">
        <v>686</v>
      </c>
      <c r="C257" s="124" t="s">
        <v>688</v>
      </c>
      <c r="D257" s="180" t="s">
        <v>363</v>
      </c>
      <c r="E257" s="162">
        <v>1508</v>
      </c>
      <c r="F257" s="189" t="s">
        <v>687</v>
      </c>
      <c r="G257" s="186"/>
      <c r="H257" s="186"/>
    </row>
    <row r="258" spans="1:8" s="187" customFormat="1" ht="15.75" outlineLevel="2" x14ac:dyDescent="0.2">
      <c r="A258" s="191"/>
      <c r="B258" s="124"/>
      <c r="C258" s="124" t="s">
        <v>689</v>
      </c>
      <c r="D258" s="180"/>
      <c r="E258" s="162"/>
      <c r="F258" s="186"/>
      <c r="G258" s="186"/>
      <c r="H258" s="186"/>
    </row>
    <row r="259" spans="1:8" s="187" customFormat="1" ht="15.75" outlineLevel="2" x14ac:dyDescent="0.2">
      <c r="A259" s="191" t="s">
        <v>937</v>
      </c>
      <c r="B259" s="124" t="s">
        <v>690</v>
      </c>
      <c r="C259" s="124" t="s">
        <v>696</v>
      </c>
      <c r="D259" s="180" t="s">
        <v>271</v>
      </c>
      <c r="E259" s="162">
        <v>600</v>
      </c>
      <c r="F259" s="186"/>
      <c r="G259" s="186"/>
      <c r="H259" s="186"/>
    </row>
    <row r="260" spans="1:8" s="187" customFormat="1" ht="15.75" outlineLevel="2" x14ac:dyDescent="0.2">
      <c r="A260" s="191"/>
      <c r="B260" s="124"/>
      <c r="C260" s="124" t="s">
        <v>691</v>
      </c>
      <c r="D260" s="180"/>
      <c r="E260" s="162"/>
      <c r="F260" s="186"/>
      <c r="G260" s="186"/>
      <c r="H260" s="186"/>
    </row>
    <row r="261" spans="1:8" s="187" customFormat="1" ht="15.75" outlineLevel="2" x14ac:dyDescent="0.2">
      <c r="A261" s="191" t="s">
        <v>938</v>
      </c>
      <c r="B261" s="124" t="s">
        <v>692</v>
      </c>
      <c r="C261" s="124" t="s">
        <v>696</v>
      </c>
      <c r="D261" s="180" t="s">
        <v>271</v>
      </c>
      <c r="E261" s="162">
        <v>450</v>
      </c>
      <c r="F261" s="186"/>
      <c r="G261" s="186"/>
      <c r="H261" s="186"/>
    </row>
    <row r="262" spans="1:8" s="187" customFormat="1" ht="15.75" outlineLevel="2" x14ac:dyDescent="0.2">
      <c r="A262" s="191"/>
      <c r="B262" s="124"/>
      <c r="C262" s="124" t="s">
        <v>693</v>
      </c>
      <c r="D262" s="180"/>
      <c r="E262" s="162"/>
      <c r="F262" s="186"/>
      <c r="G262" s="186"/>
      <c r="H262" s="186"/>
    </row>
    <row r="263" spans="1:8" s="187" customFormat="1" ht="15.75" outlineLevel="2" x14ac:dyDescent="0.2">
      <c r="A263" s="191" t="s">
        <v>939</v>
      </c>
      <c r="B263" s="124" t="s">
        <v>694</v>
      </c>
      <c r="C263" s="124" t="s">
        <v>696</v>
      </c>
      <c r="D263" s="180" t="s">
        <v>271</v>
      </c>
      <c r="E263" s="162">
        <v>450</v>
      </c>
      <c r="F263" s="186"/>
      <c r="G263" s="186"/>
      <c r="H263" s="186"/>
    </row>
    <row r="264" spans="1:8" s="187" customFormat="1" ht="15.75" outlineLevel="2" x14ac:dyDescent="0.2">
      <c r="A264" s="191"/>
      <c r="B264" s="124"/>
      <c r="C264" s="124" t="s">
        <v>695</v>
      </c>
      <c r="D264" s="180"/>
      <c r="E264" s="162"/>
      <c r="F264" s="186"/>
      <c r="G264" s="186"/>
      <c r="H264" s="186"/>
    </row>
    <row r="265" spans="1:8" s="187" customFormat="1" ht="15.75" outlineLevel="2" x14ac:dyDescent="0.2">
      <c r="A265" s="191" t="s">
        <v>940</v>
      </c>
      <c r="B265" s="124" t="s">
        <v>697</v>
      </c>
      <c r="C265" s="124" t="s">
        <v>696</v>
      </c>
      <c r="D265" s="180" t="s">
        <v>271</v>
      </c>
      <c r="E265" s="162">
        <v>200</v>
      </c>
      <c r="F265" s="186"/>
      <c r="G265" s="186"/>
      <c r="H265" s="186"/>
    </row>
    <row r="266" spans="1:8" s="187" customFormat="1" ht="15.75" outlineLevel="2" x14ac:dyDescent="0.2">
      <c r="A266" s="191"/>
      <c r="B266" s="124"/>
      <c r="C266" s="124" t="s">
        <v>698</v>
      </c>
      <c r="D266" s="180"/>
      <c r="E266" s="162"/>
      <c r="F266" s="186"/>
      <c r="G266" s="186"/>
      <c r="H266" s="186"/>
    </row>
    <row r="267" spans="1:8" s="187" customFormat="1" ht="15.75" outlineLevel="2" x14ac:dyDescent="0.2">
      <c r="A267" s="191" t="s">
        <v>941</v>
      </c>
      <c r="B267" s="124" t="s">
        <v>699</v>
      </c>
      <c r="C267" s="124" t="s">
        <v>696</v>
      </c>
      <c r="D267" s="180" t="s">
        <v>271</v>
      </c>
      <c r="E267" s="162">
        <v>200</v>
      </c>
      <c r="F267" s="186"/>
      <c r="G267" s="186"/>
      <c r="H267" s="186"/>
    </row>
    <row r="268" spans="1:8" s="187" customFormat="1" ht="15.75" outlineLevel="2" x14ac:dyDescent="0.2">
      <c r="A268" s="191"/>
      <c r="B268" s="124"/>
      <c r="C268" s="124" t="s">
        <v>700</v>
      </c>
      <c r="D268" s="180"/>
      <c r="E268" s="162"/>
      <c r="F268" s="186"/>
      <c r="G268" s="186"/>
      <c r="H268" s="186"/>
    </row>
    <row r="269" spans="1:8" s="187" customFormat="1" ht="15.75" outlineLevel="2" x14ac:dyDescent="0.2">
      <c r="A269" s="191" t="s">
        <v>942</v>
      </c>
      <c r="B269" s="124" t="s">
        <v>701</v>
      </c>
      <c r="C269" s="124" t="s">
        <v>696</v>
      </c>
      <c r="D269" s="180" t="s">
        <v>271</v>
      </c>
      <c r="E269" s="162">
        <v>245</v>
      </c>
      <c r="F269" s="186"/>
      <c r="G269" s="186"/>
      <c r="H269" s="186"/>
    </row>
    <row r="270" spans="1:8" s="187" customFormat="1" ht="15.75" outlineLevel="2" x14ac:dyDescent="0.2">
      <c r="A270" s="191"/>
      <c r="B270" s="124"/>
      <c r="C270" s="124" t="s">
        <v>702</v>
      </c>
      <c r="D270" s="180"/>
      <c r="E270" s="162"/>
      <c r="F270" s="186"/>
      <c r="G270" s="186"/>
      <c r="H270" s="186"/>
    </row>
    <row r="271" spans="1:8" s="187" customFormat="1" ht="15.75" outlineLevel="2" x14ac:dyDescent="0.2">
      <c r="A271" s="191" t="s">
        <v>943</v>
      </c>
      <c r="B271" s="124" t="s">
        <v>703</v>
      </c>
      <c r="C271" s="124" t="s">
        <v>696</v>
      </c>
      <c r="D271" s="180" t="s">
        <v>271</v>
      </c>
      <c r="E271" s="162">
        <v>175</v>
      </c>
      <c r="F271" s="186"/>
      <c r="G271" s="186"/>
      <c r="H271" s="186"/>
    </row>
    <row r="272" spans="1:8" ht="69" customHeight="1" outlineLevel="1" x14ac:dyDescent="0.2">
      <c r="A272" s="206" t="s">
        <v>944</v>
      </c>
      <c r="B272" s="93" t="s">
        <v>51</v>
      </c>
      <c r="C272" s="93" t="s">
        <v>52</v>
      </c>
      <c r="D272" s="178" t="s">
        <v>250</v>
      </c>
      <c r="E272" s="158">
        <v>1</v>
      </c>
      <c r="F272" s="182"/>
      <c r="G272" s="182"/>
      <c r="H272" s="182"/>
    </row>
    <row r="273" spans="1:8" ht="89.25" outlineLevel="1" x14ac:dyDescent="0.2">
      <c r="A273" s="206" t="s">
        <v>945</v>
      </c>
      <c r="B273" s="93" t="s">
        <v>106</v>
      </c>
      <c r="C273" s="93" t="s">
        <v>709</v>
      </c>
      <c r="D273" s="178" t="s">
        <v>271</v>
      </c>
      <c r="E273" s="158">
        <f>(2060+245+175)*3</f>
        <v>7440</v>
      </c>
      <c r="F273" s="183" t="s">
        <v>710</v>
      </c>
      <c r="G273" s="182"/>
      <c r="H273" s="182"/>
    </row>
    <row r="274" spans="1:8" ht="25.5" outlineLevel="1" x14ac:dyDescent="0.2">
      <c r="A274" s="206" t="s">
        <v>946</v>
      </c>
      <c r="B274" s="93" t="s">
        <v>53</v>
      </c>
      <c r="C274" s="93" t="s">
        <v>54</v>
      </c>
      <c r="D274" s="178" t="s">
        <v>250</v>
      </c>
      <c r="E274" s="158">
        <v>1</v>
      </c>
      <c r="F274" s="182"/>
      <c r="G274" s="182"/>
      <c r="H274" s="182"/>
    </row>
    <row r="275" spans="1:8" ht="15.75" outlineLevel="1" x14ac:dyDescent="0.2">
      <c r="A275" s="206" t="s">
        <v>947</v>
      </c>
      <c r="B275" s="100" t="s">
        <v>110</v>
      </c>
      <c r="C275" s="100" t="s">
        <v>111</v>
      </c>
      <c r="D275" s="178" t="s">
        <v>250</v>
      </c>
      <c r="E275" s="158">
        <v>1</v>
      </c>
      <c r="F275" s="182"/>
      <c r="G275" s="182"/>
      <c r="H275" s="182"/>
    </row>
    <row r="276" spans="1:8" ht="25.5" outlineLevel="1" x14ac:dyDescent="0.2">
      <c r="A276" s="206" t="s">
        <v>948</v>
      </c>
      <c r="B276" s="100" t="s">
        <v>55</v>
      </c>
      <c r="C276" s="100" t="s">
        <v>113</v>
      </c>
      <c r="D276" s="178" t="s">
        <v>250</v>
      </c>
      <c r="E276" s="158">
        <v>1</v>
      </c>
      <c r="F276" s="182"/>
      <c r="G276" s="182"/>
      <c r="H276" s="182"/>
    </row>
    <row r="277" spans="1:8" ht="15.75" outlineLevel="1" x14ac:dyDescent="0.2">
      <c r="A277" s="206" t="s">
        <v>949</v>
      </c>
      <c r="B277" s="100" t="s">
        <v>57</v>
      </c>
      <c r="C277" s="100" t="s">
        <v>114</v>
      </c>
      <c r="D277" s="165" t="s">
        <v>250</v>
      </c>
      <c r="E277" s="158">
        <v>1</v>
      </c>
      <c r="F277" s="182"/>
      <c r="G277" s="182"/>
      <c r="H277" s="182"/>
    </row>
    <row r="278" spans="1:8" s="187" customFormat="1" ht="15.75" outlineLevel="2" x14ac:dyDescent="0.2">
      <c r="A278" s="191" t="s">
        <v>950</v>
      </c>
      <c r="B278" s="132" t="s">
        <v>211</v>
      </c>
      <c r="C278" s="133" t="s">
        <v>209</v>
      </c>
      <c r="D278" s="204" t="s">
        <v>250</v>
      </c>
      <c r="E278" s="162">
        <v>1</v>
      </c>
      <c r="F278" s="186"/>
      <c r="G278" s="186"/>
      <c r="H278" s="186"/>
    </row>
    <row r="279" spans="1:8" s="187" customFormat="1" ht="15.75" outlineLevel="2" x14ac:dyDescent="0.2">
      <c r="A279" s="191" t="s">
        <v>951</v>
      </c>
      <c r="B279" s="132" t="s">
        <v>212</v>
      </c>
      <c r="C279" s="133" t="s">
        <v>210</v>
      </c>
      <c r="D279" s="204" t="s">
        <v>250</v>
      </c>
      <c r="E279" s="162">
        <v>1</v>
      </c>
      <c r="F279" s="186"/>
      <c r="G279" s="186"/>
      <c r="H279" s="186"/>
    </row>
    <row r="280" spans="1:8" ht="25.5" outlineLevel="1" x14ac:dyDescent="0.2">
      <c r="A280" s="211" t="s">
        <v>952</v>
      </c>
      <c r="B280" s="171" t="s">
        <v>70</v>
      </c>
      <c r="C280" s="171" t="s">
        <v>90</v>
      </c>
      <c r="D280" s="184" t="s">
        <v>250</v>
      </c>
      <c r="E280" s="170">
        <v>1</v>
      </c>
      <c r="F280" s="182"/>
      <c r="G280" s="182"/>
      <c r="H280" s="182"/>
    </row>
    <row r="281" spans="1:8" ht="15.75" x14ac:dyDescent="0.2">
      <c r="A281" s="210" t="s">
        <v>295</v>
      </c>
      <c r="B281" s="159"/>
      <c r="C281" s="153" t="s">
        <v>296</v>
      </c>
      <c r="D281" s="177" t="s">
        <v>250</v>
      </c>
      <c r="E281" s="154">
        <v>1</v>
      </c>
      <c r="F281" s="182"/>
      <c r="G281" s="182"/>
      <c r="H281" s="182"/>
    </row>
    <row r="282" spans="1:8" ht="15.75" outlineLevel="1" x14ac:dyDescent="0.2">
      <c r="A282" s="206" t="s">
        <v>297</v>
      </c>
      <c r="B282" s="100" t="s">
        <v>56</v>
      </c>
      <c r="C282" s="100" t="s">
        <v>98</v>
      </c>
      <c r="D282" s="157" t="s">
        <v>250</v>
      </c>
      <c r="E282" s="158">
        <v>1</v>
      </c>
      <c r="F282" s="182"/>
      <c r="G282" s="182"/>
      <c r="H282" s="182"/>
    </row>
    <row r="283" spans="1:8" s="196" customFormat="1" ht="25.5" outlineLevel="2" x14ac:dyDescent="0.2">
      <c r="A283" s="208" t="s">
        <v>953</v>
      </c>
      <c r="B283" s="93" t="s">
        <v>191</v>
      </c>
      <c r="C283" s="93" t="s">
        <v>192</v>
      </c>
      <c r="D283" s="157" t="s">
        <v>250</v>
      </c>
      <c r="E283" s="158">
        <v>1</v>
      </c>
      <c r="F283" s="195"/>
      <c r="G283" s="195"/>
      <c r="H283" s="195"/>
    </row>
    <row r="284" spans="1:8" s="196" customFormat="1" ht="25.5" outlineLevel="2" x14ac:dyDescent="0.2">
      <c r="A284" s="208" t="s">
        <v>954</v>
      </c>
      <c r="B284" s="93" t="s">
        <v>193</v>
      </c>
      <c r="C284" s="93" t="s">
        <v>194</v>
      </c>
      <c r="D284" s="157" t="s">
        <v>250</v>
      </c>
      <c r="E284" s="158">
        <v>1</v>
      </c>
      <c r="F284" s="195"/>
      <c r="G284" s="195"/>
      <c r="H284" s="195"/>
    </row>
    <row r="285" spans="1:8" s="196" customFormat="1" ht="15.75" outlineLevel="2" x14ac:dyDescent="0.2">
      <c r="A285" s="208" t="s">
        <v>955</v>
      </c>
      <c r="B285" s="93" t="s">
        <v>195</v>
      </c>
      <c r="C285" s="93" t="s">
        <v>196</v>
      </c>
      <c r="D285" s="212" t="s">
        <v>250</v>
      </c>
      <c r="E285" s="158">
        <v>1</v>
      </c>
      <c r="F285" s="195"/>
      <c r="G285" s="195"/>
      <c r="H285" s="195"/>
    </row>
    <row r="286" spans="1:8" s="196" customFormat="1" ht="15.75" outlineLevel="2" x14ac:dyDescent="0.2">
      <c r="A286" s="208" t="s">
        <v>956</v>
      </c>
      <c r="B286" s="93" t="s">
        <v>197</v>
      </c>
      <c r="C286" s="93" t="s">
        <v>198</v>
      </c>
      <c r="D286" s="212" t="s">
        <v>250</v>
      </c>
      <c r="E286" s="158">
        <v>1</v>
      </c>
      <c r="F286" s="195"/>
      <c r="G286" s="195"/>
      <c r="H286" s="195"/>
    </row>
    <row r="287" spans="1:8" s="187" customFormat="1" ht="15.75" outlineLevel="3" x14ac:dyDescent="0.2">
      <c r="A287" s="191" t="s">
        <v>957</v>
      </c>
      <c r="B287" s="124" t="s">
        <v>712</v>
      </c>
      <c r="C287" s="124" t="s">
        <v>711</v>
      </c>
      <c r="D287" s="213" t="s">
        <v>250</v>
      </c>
      <c r="E287" s="162">
        <v>1</v>
      </c>
      <c r="F287" s="186"/>
      <c r="G287" s="186"/>
      <c r="H287" s="186"/>
    </row>
    <row r="288" spans="1:8" s="187" customFormat="1" ht="15.75" outlineLevel="3" x14ac:dyDescent="0.2">
      <c r="A288" s="191" t="s">
        <v>958</v>
      </c>
      <c r="B288" s="124" t="s">
        <v>713</v>
      </c>
      <c r="C288" s="124" t="s">
        <v>714</v>
      </c>
      <c r="D288" s="213" t="s">
        <v>250</v>
      </c>
      <c r="E288" s="162">
        <v>1</v>
      </c>
      <c r="F288" s="186"/>
      <c r="G288" s="186"/>
      <c r="H288" s="186"/>
    </row>
    <row r="289" spans="1:8" s="196" customFormat="1" ht="15.75" outlineLevel="2" x14ac:dyDescent="0.2">
      <c r="A289" s="208" t="s">
        <v>959</v>
      </c>
      <c r="B289" s="93" t="s">
        <v>199</v>
      </c>
      <c r="C289" s="93" t="s">
        <v>200</v>
      </c>
      <c r="D289" s="212" t="s">
        <v>250</v>
      </c>
      <c r="E289" s="158">
        <v>1</v>
      </c>
      <c r="F289" s="195"/>
      <c r="G289" s="195"/>
      <c r="H289" s="195"/>
    </row>
    <row r="290" spans="1:8" s="196" customFormat="1" ht="15.75" outlineLevel="2" x14ac:dyDescent="0.2">
      <c r="A290" s="208" t="s">
        <v>960</v>
      </c>
      <c r="B290" s="93" t="s">
        <v>201</v>
      </c>
      <c r="C290" s="93" t="s">
        <v>202</v>
      </c>
      <c r="D290" s="212" t="s">
        <v>250</v>
      </c>
      <c r="E290" s="158">
        <v>1</v>
      </c>
      <c r="F290" s="195"/>
      <c r="G290" s="195"/>
      <c r="H290" s="195"/>
    </row>
    <row r="291" spans="1:8" ht="15.75" outlineLevel="1" x14ac:dyDescent="0.2">
      <c r="A291" s="206" t="s">
        <v>298</v>
      </c>
      <c r="B291" s="100" t="s">
        <v>110</v>
      </c>
      <c r="C291" s="100" t="s">
        <v>111</v>
      </c>
      <c r="D291" s="157" t="s">
        <v>250</v>
      </c>
      <c r="E291" s="158">
        <v>1</v>
      </c>
      <c r="F291" s="182"/>
      <c r="G291" s="182"/>
      <c r="H291" s="182"/>
    </row>
    <row r="292" spans="1:8" ht="25.5" outlineLevel="1" x14ac:dyDescent="0.2">
      <c r="A292" s="206" t="s">
        <v>299</v>
      </c>
      <c r="B292" s="93" t="s">
        <v>70</v>
      </c>
      <c r="C292" s="93" t="s">
        <v>90</v>
      </c>
      <c r="D292" s="214" t="s">
        <v>250</v>
      </c>
      <c r="E292" s="158">
        <v>1</v>
      </c>
      <c r="F292" s="182"/>
      <c r="G292" s="182"/>
      <c r="H292" s="182"/>
    </row>
    <row r="293" spans="1:8" ht="15" x14ac:dyDescent="0.25">
      <c r="A293" s="207"/>
      <c r="B293" s="163"/>
      <c r="C293" s="164"/>
      <c r="D293" s="165"/>
      <c r="E293" s="166"/>
    </row>
    <row r="294" spans="1:8" ht="15" x14ac:dyDescent="0.25">
      <c r="A294" s="207"/>
      <c r="B294" s="163"/>
      <c r="C294" s="164"/>
      <c r="D294" s="165"/>
      <c r="E294" s="166"/>
    </row>
    <row r="295" spans="1:8" ht="15" x14ac:dyDescent="0.25">
      <c r="A295" s="207"/>
      <c r="B295" s="163"/>
      <c r="C295" s="164"/>
      <c r="D295" s="165"/>
      <c r="E295" s="166"/>
    </row>
    <row r="296" spans="1:8" ht="15" x14ac:dyDescent="0.25">
      <c r="A296" s="207"/>
      <c r="B296" s="163"/>
      <c r="C296" s="164"/>
      <c r="D296" s="165"/>
      <c r="E296" s="166"/>
    </row>
    <row r="297" spans="1:8" ht="15" x14ac:dyDescent="0.25">
      <c r="A297" s="207"/>
      <c r="B297" s="163"/>
      <c r="C297" s="164"/>
      <c r="D297" s="165"/>
      <c r="E297" s="166"/>
    </row>
    <row r="298" spans="1:8" ht="15" x14ac:dyDescent="0.25">
      <c r="A298" s="207"/>
      <c r="B298" s="163"/>
      <c r="C298" s="164"/>
      <c r="D298" s="165"/>
      <c r="E298" s="166"/>
    </row>
    <row r="299" spans="1:8" ht="15" x14ac:dyDescent="0.25">
      <c r="A299" s="207"/>
      <c r="B299" s="163"/>
      <c r="C299" s="164"/>
      <c r="D299" s="165"/>
      <c r="E299" s="166"/>
    </row>
    <row r="300" spans="1:8" x14ac:dyDescent="0.2">
      <c r="B300" t="s">
        <v>300</v>
      </c>
    </row>
    <row r="302" spans="1:8" x14ac:dyDescent="0.2">
      <c r="B302" t="s">
        <v>301</v>
      </c>
    </row>
  </sheetData>
  <mergeCells count="4">
    <mergeCell ref="A1:E1"/>
    <mergeCell ref="A2:E2"/>
    <mergeCell ref="F17:F18"/>
    <mergeCell ref="F22:F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7" workbookViewId="0">
      <selection activeCell="A36" sqref="A36"/>
    </sheetView>
  </sheetViews>
  <sheetFormatPr defaultRowHeight="12.75" x14ac:dyDescent="0.2"/>
  <cols>
    <col min="1" max="3" width="47.85546875" customWidth="1"/>
  </cols>
  <sheetData>
    <row r="1" spans="1:15" ht="15.75" x14ac:dyDescent="0.25">
      <c r="A1" s="600" t="s">
        <v>215</v>
      </c>
      <c r="B1" s="600"/>
      <c r="C1" s="600"/>
    </row>
    <row r="2" spans="1:15" ht="15.75" x14ac:dyDescent="0.25">
      <c r="A2" s="600" t="s">
        <v>216</v>
      </c>
      <c r="B2" s="600"/>
      <c r="C2" s="600"/>
    </row>
    <row r="3" spans="1:15" ht="43.9" customHeight="1" x14ac:dyDescent="0.2">
      <c r="A3" s="601" t="s">
        <v>232</v>
      </c>
      <c r="B3" s="594"/>
      <c r="C3" s="594"/>
    </row>
    <row r="4" spans="1:15" ht="60" customHeight="1" x14ac:dyDescent="0.2">
      <c r="A4" s="590" t="s">
        <v>217</v>
      </c>
      <c r="B4" s="590"/>
      <c r="C4" s="590"/>
    </row>
    <row r="5" spans="1:15" ht="26.25" customHeight="1" x14ac:dyDescent="0.2">
      <c r="A5" s="599" t="s">
        <v>218</v>
      </c>
      <c r="B5" s="599"/>
      <c r="C5" s="599"/>
    </row>
    <row r="6" spans="1:15" ht="105" customHeight="1" x14ac:dyDescent="0.2">
      <c r="A6" s="599" t="s">
        <v>233</v>
      </c>
      <c r="B6" s="599"/>
      <c r="C6" s="599"/>
    </row>
    <row r="7" spans="1:15" ht="15.75" x14ac:dyDescent="0.2">
      <c r="A7" s="597" t="s">
        <v>219</v>
      </c>
      <c r="B7" s="597"/>
      <c r="C7" s="597"/>
    </row>
    <row r="8" spans="1:15" ht="52.9" customHeight="1" x14ac:dyDescent="0.2">
      <c r="A8" s="598" t="s">
        <v>1274</v>
      </c>
      <c r="B8" s="598"/>
      <c r="C8" s="598"/>
    </row>
    <row r="9" spans="1:15" ht="27.6" customHeight="1" x14ac:dyDescent="0.2">
      <c r="A9" s="596" t="s">
        <v>220</v>
      </c>
      <c r="B9" s="596"/>
      <c r="C9" s="596"/>
    </row>
    <row r="10" spans="1:15" ht="35.25" customHeight="1" x14ac:dyDescent="0.25">
      <c r="A10" s="596" t="s">
        <v>221</v>
      </c>
      <c r="B10" s="596"/>
      <c r="C10" s="596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43.5" customHeight="1" x14ac:dyDescent="0.2">
      <c r="A11" s="596" t="s">
        <v>222</v>
      </c>
      <c r="B11" s="596"/>
      <c r="C11" s="596"/>
      <c r="D11" s="136"/>
      <c r="E11" s="136"/>
      <c r="F11" s="136"/>
      <c r="G11" s="136"/>
      <c r="H11" s="136"/>
      <c r="I11" s="136"/>
      <c r="J11" s="136"/>
      <c r="K11" s="136"/>
    </row>
    <row r="12" spans="1:15" ht="36.6" customHeight="1" x14ac:dyDescent="0.2">
      <c r="A12" s="590" t="s">
        <v>223</v>
      </c>
      <c r="B12" s="590"/>
      <c r="C12" s="590"/>
    </row>
    <row r="13" spans="1:15" ht="15.75" x14ac:dyDescent="0.2">
      <c r="A13" s="597" t="s">
        <v>224</v>
      </c>
      <c r="B13" s="597"/>
      <c r="C13" s="597"/>
    </row>
    <row r="14" spans="1:15" ht="63" customHeight="1" x14ac:dyDescent="0.2">
      <c r="A14" s="598" t="s">
        <v>1383</v>
      </c>
      <c r="B14" s="598"/>
      <c r="C14" s="598"/>
    </row>
    <row r="15" spans="1:15" ht="27.6" customHeight="1" x14ac:dyDescent="0.2">
      <c r="A15" s="596" t="s">
        <v>225</v>
      </c>
      <c r="B15" s="596"/>
      <c r="C15" s="596"/>
    </row>
    <row r="16" spans="1:15" ht="35.25" customHeight="1" x14ac:dyDescent="0.25">
      <c r="A16" s="596" t="s">
        <v>221</v>
      </c>
      <c r="B16" s="596"/>
      <c r="C16" s="596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39.75" customHeight="1" x14ac:dyDescent="0.2">
      <c r="A17" s="596" t="s">
        <v>222</v>
      </c>
      <c r="B17" s="596"/>
      <c r="C17" s="596"/>
      <c r="D17" s="136"/>
      <c r="E17" s="136"/>
      <c r="F17" s="136"/>
      <c r="G17" s="136"/>
      <c r="H17" s="136"/>
      <c r="I17" s="136"/>
      <c r="J17" s="136"/>
      <c r="K17" s="136"/>
    </row>
    <row r="18" spans="1:15" ht="36.6" customHeight="1" x14ac:dyDescent="0.2">
      <c r="A18" s="590" t="s">
        <v>223</v>
      </c>
      <c r="B18" s="590"/>
      <c r="C18" s="590"/>
    </row>
    <row r="19" spans="1:15" ht="15.75" x14ac:dyDescent="0.2">
      <c r="A19" s="594" t="s">
        <v>226</v>
      </c>
      <c r="B19" s="594"/>
      <c r="C19" s="594"/>
    </row>
    <row r="20" spans="1:15" ht="49.5" customHeight="1" x14ac:dyDescent="0.2">
      <c r="A20" s="595" t="s">
        <v>1275</v>
      </c>
      <c r="B20" s="595"/>
      <c r="C20" s="595"/>
    </row>
    <row r="21" spans="1:15" ht="35.25" customHeight="1" x14ac:dyDescent="0.2">
      <c r="A21" s="595" t="s">
        <v>1388</v>
      </c>
      <c r="B21" s="595"/>
      <c r="C21" s="595"/>
    </row>
    <row r="22" spans="1:15" ht="30" customHeight="1" x14ac:dyDescent="0.2">
      <c r="A22" s="596" t="s">
        <v>234</v>
      </c>
      <c r="B22" s="596"/>
      <c r="C22" s="596"/>
    </row>
    <row r="23" spans="1:15" ht="33" customHeight="1" x14ac:dyDescent="0.25">
      <c r="A23" s="596" t="s">
        <v>227</v>
      </c>
      <c r="B23" s="596"/>
      <c r="C23" s="596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15" ht="39" customHeight="1" x14ac:dyDescent="0.2">
      <c r="A24" s="596" t="s">
        <v>222</v>
      </c>
      <c r="B24" s="596"/>
      <c r="C24" s="596"/>
      <c r="D24" s="136"/>
      <c r="E24" s="136"/>
      <c r="F24" s="136"/>
      <c r="G24" s="136"/>
      <c r="H24" s="136"/>
      <c r="I24" s="136"/>
      <c r="J24" s="136"/>
      <c r="K24" s="136"/>
    </row>
    <row r="25" spans="1:15" ht="21.6" customHeight="1" x14ac:dyDescent="0.2">
      <c r="A25" s="589" t="s">
        <v>228</v>
      </c>
      <c r="B25" s="589"/>
      <c r="C25" s="589"/>
    </row>
    <row r="26" spans="1:15" ht="36.6" customHeight="1" x14ac:dyDescent="0.2">
      <c r="A26" s="590" t="s">
        <v>223</v>
      </c>
      <c r="B26" s="590"/>
      <c r="C26" s="590"/>
    </row>
    <row r="27" spans="1:15" ht="15.75" x14ac:dyDescent="0.2">
      <c r="A27" s="591" t="s">
        <v>229</v>
      </c>
      <c r="B27" s="591"/>
      <c r="C27" s="591"/>
    </row>
    <row r="28" spans="1:15" ht="15.75" x14ac:dyDescent="0.2">
      <c r="A28" s="137"/>
      <c r="B28" s="137"/>
      <c r="C28" s="137"/>
    </row>
    <row r="29" spans="1:15" ht="15.75" x14ac:dyDescent="0.25">
      <c r="A29" s="138" t="s">
        <v>230</v>
      </c>
      <c r="B29" s="139"/>
      <c r="C29" s="138"/>
    </row>
    <row r="30" spans="1:15" ht="15.75" x14ac:dyDescent="0.2">
      <c r="A30" s="592"/>
      <c r="B30" s="593"/>
      <c r="C30" s="593"/>
    </row>
    <row r="31" spans="1:15" ht="15.75" x14ac:dyDescent="0.25">
      <c r="A31" s="138"/>
      <c r="B31" s="443">
        <f>НМЦ!F21</f>
        <v>140288880</v>
      </c>
      <c r="C31" s="138" t="s">
        <v>231</v>
      </c>
    </row>
  </sheetData>
  <mergeCells count="28">
    <mergeCell ref="A6:C6"/>
    <mergeCell ref="A1:C1"/>
    <mergeCell ref="A2:C2"/>
    <mergeCell ref="A3:C3"/>
    <mergeCell ref="A4:C4"/>
    <mergeCell ref="A5:C5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5:C25"/>
    <mergeCell ref="A26:C26"/>
    <mergeCell ref="A27:C27"/>
    <mergeCell ref="A30:C30"/>
    <mergeCell ref="A19:C19"/>
    <mergeCell ref="A20:C20"/>
    <mergeCell ref="A21:C21"/>
    <mergeCell ref="A22:C22"/>
    <mergeCell ref="A23:C23"/>
    <mergeCell ref="A24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0" zoomScaleSheetLayoutView="100" workbookViewId="0">
      <selection activeCell="D11" sqref="D11:D12"/>
    </sheetView>
  </sheetViews>
  <sheetFormatPr defaultRowHeight="12.75" x14ac:dyDescent="0.2"/>
  <cols>
    <col min="1" max="1" width="11.28515625" style="98" bestFit="1" customWidth="1"/>
    <col min="2" max="2" width="21.85546875" hidden="1" customWidth="1"/>
    <col min="3" max="3" width="54.42578125" customWidth="1"/>
    <col min="4" max="6" width="19.7109375" customWidth="1"/>
  </cols>
  <sheetData>
    <row r="1" spans="1:6" ht="29.25" customHeight="1" x14ac:dyDescent="0.2">
      <c r="A1" s="602" t="s">
        <v>1379</v>
      </c>
      <c r="B1" s="602"/>
      <c r="C1" s="602"/>
      <c r="D1" s="602"/>
      <c r="E1" s="602"/>
      <c r="F1" s="602"/>
    </row>
    <row r="2" spans="1:6" ht="29.25" hidden="1" customHeight="1" x14ac:dyDescent="0.2">
      <c r="A2" s="215"/>
      <c r="B2" s="215"/>
      <c r="C2" s="215"/>
      <c r="D2" s="215"/>
      <c r="E2" s="215"/>
      <c r="F2" s="215"/>
    </row>
    <row r="3" spans="1:6" ht="39" customHeight="1" x14ac:dyDescent="0.2">
      <c r="A3" s="289" t="s">
        <v>1199</v>
      </c>
      <c r="B3" s="603" t="s">
        <v>302</v>
      </c>
      <c r="C3" s="603"/>
      <c r="D3" s="603"/>
      <c r="E3" s="603"/>
      <c r="F3" s="603"/>
    </row>
    <row r="4" spans="1:6" ht="29.25" hidden="1" customHeight="1" x14ac:dyDescent="0.25">
      <c r="A4" s="290" t="s">
        <v>1200</v>
      </c>
      <c r="B4" s="290" t="s">
        <v>1272</v>
      </c>
      <c r="C4" s="290"/>
      <c r="D4" s="292"/>
      <c r="E4" s="292"/>
      <c r="F4" s="292"/>
    </row>
    <row r="5" spans="1:6" ht="29.25" hidden="1" customHeight="1" x14ac:dyDescent="0.25">
      <c r="A5" s="293" t="s">
        <v>1201</v>
      </c>
      <c r="B5" s="147"/>
      <c r="C5" s="147"/>
      <c r="D5" s="292"/>
      <c r="E5" s="292"/>
      <c r="F5" s="292"/>
    </row>
    <row r="6" spans="1:6" ht="29.25" hidden="1" customHeight="1" x14ac:dyDescent="0.2">
      <c r="A6" s="300" t="s">
        <v>1202</v>
      </c>
      <c r="B6" s="300"/>
      <c r="C6" s="347"/>
      <c r="D6" s="294"/>
      <c r="E6" s="294"/>
      <c r="F6" s="294"/>
    </row>
    <row r="7" spans="1:6" ht="29.25" hidden="1" customHeight="1" x14ac:dyDescent="0.2">
      <c r="A7" s="606" t="s">
        <v>1273</v>
      </c>
      <c r="B7" s="606"/>
      <c r="C7" s="606"/>
    </row>
    <row r="8" spans="1:6" ht="29.25" hidden="1" customHeight="1" x14ac:dyDescent="0.2">
      <c r="A8" s="606" t="s">
        <v>1271</v>
      </c>
      <c r="B8" s="606"/>
      <c r="C8" s="606"/>
    </row>
    <row r="9" spans="1:6" ht="29.25" customHeight="1" x14ac:dyDescent="0.2">
      <c r="A9" s="417"/>
      <c r="B9" s="417"/>
      <c r="C9" s="417"/>
    </row>
    <row r="10" spans="1:6" ht="15.75" x14ac:dyDescent="0.25">
      <c r="A10" s="605" t="s">
        <v>1382</v>
      </c>
      <c r="B10" s="605"/>
      <c r="C10" s="605"/>
      <c r="D10" s="440">
        <v>23</v>
      </c>
      <c r="E10" s="441" t="s">
        <v>1252</v>
      </c>
    </row>
    <row r="11" spans="1:6" ht="15.75" x14ac:dyDescent="0.25">
      <c r="A11" s="604" t="s">
        <v>1380</v>
      </c>
      <c r="B11" s="604"/>
      <c r="C11" s="604"/>
      <c r="D11" s="442"/>
      <c r="E11" s="441"/>
    </row>
    <row r="12" spans="1:6" ht="15.75" x14ac:dyDescent="0.25">
      <c r="A12" s="604" t="s">
        <v>1381</v>
      </c>
      <c r="B12" s="604"/>
      <c r="C12" s="604"/>
      <c r="D12" s="442"/>
      <c r="E12" s="441"/>
    </row>
    <row r="13" spans="1:6" ht="29.25" customHeight="1" x14ac:dyDescent="0.25">
      <c r="A13" s="147"/>
      <c r="B13" s="147"/>
      <c r="C13" s="147"/>
    </row>
    <row r="14" spans="1:6" ht="32.25" customHeight="1" x14ac:dyDescent="0.2">
      <c r="A14" s="607" t="s">
        <v>1</v>
      </c>
      <c r="B14" s="418" t="s">
        <v>245</v>
      </c>
      <c r="C14" s="609" t="s">
        <v>1376</v>
      </c>
      <c r="D14" s="611" t="s">
        <v>1375</v>
      </c>
      <c r="E14" s="609" t="s">
        <v>1377</v>
      </c>
      <c r="F14" s="609" t="s">
        <v>1378</v>
      </c>
    </row>
    <row r="15" spans="1:6" ht="31.5" customHeight="1" x14ac:dyDescent="0.2">
      <c r="A15" s="608"/>
      <c r="B15" s="418"/>
      <c r="C15" s="610"/>
      <c r="D15" s="612"/>
      <c r="E15" s="610"/>
      <c r="F15" s="610"/>
    </row>
    <row r="16" spans="1:6" ht="15.75" x14ac:dyDescent="0.2">
      <c r="A16" s="418">
        <v>1</v>
      </c>
      <c r="B16" s="418"/>
      <c r="C16" s="418">
        <v>2</v>
      </c>
      <c r="D16" s="420">
        <v>3</v>
      </c>
      <c r="E16" s="420">
        <v>4</v>
      </c>
      <c r="F16" s="420">
        <v>5</v>
      </c>
    </row>
    <row r="17" spans="1:6" s="369" customFormat="1" ht="22.15" customHeight="1" x14ac:dyDescent="0.2">
      <c r="A17" s="446">
        <v>1</v>
      </c>
      <c r="B17" s="446"/>
      <c r="C17" s="358" t="s">
        <v>249</v>
      </c>
      <c r="D17" s="550">
        <f>НМЦК!K12</f>
        <v>2364965</v>
      </c>
      <c r="E17" s="549">
        <f>D17*20%</f>
        <v>472993</v>
      </c>
      <c r="F17" s="549">
        <f>D17+E17</f>
        <v>2837958</v>
      </c>
    </row>
    <row r="18" spans="1:6" s="369" customFormat="1" ht="32.450000000000003" customHeight="1" x14ac:dyDescent="0.2">
      <c r="A18" s="363" t="s">
        <v>253</v>
      </c>
      <c r="B18" s="363"/>
      <c r="C18" s="358" t="s">
        <v>1506</v>
      </c>
      <c r="D18" s="550">
        <f>НМЦК!K15</f>
        <v>113720518</v>
      </c>
      <c r="E18" s="549">
        <f>D18*20%</f>
        <v>22744103.600000001</v>
      </c>
      <c r="F18" s="549">
        <f>D18+E18</f>
        <v>136464621.59999999</v>
      </c>
    </row>
    <row r="19" spans="1:6" s="411" customFormat="1" ht="28.9" customHeight="1" x14ac:dyDescent="0.2">
      <c r="A19" s="282" t="s">
        <v>295</v>
      </c>
      <c r="B19" s="444"/>
      <c r="C19" s="447" t="s">
        <v>296</v>
      </c>
      <c r="D19" s="550">
        <f>НМЦК!K311</f>
        <v>821917</v>
      </c>
      <c r="E19" s="549">
        <f>D19*20%</f>
        <v>164383.4</v>
      </c>
      <c r="F19" s="549">
        <f>D19+E19</f>
        <v>986300.4</v>
      </c>
    </row>
    <row r="20" spans="1:6" s="362" customFormat="1" ht="15.75" hidden="1" x14ac:dyDescent="0.2">
      <c r="A20" s="282" t="s">
        <v>1412</v>
      </c>
      <c r="B20" s="444"/>
      <c r="C20" s="444" t="s">
        <v>1411</v>
      </c>
      <c r="D20" s="550">
        <f>НМЦК!K326</f>
        <v>0</v>
      </c>
      <c r="E20" s="549">
        <f>D20*20%</f>
        <v>0</v>
      </c>
      <c r="F20" s="549">
        <f>D20+E20</f>
        <v>0</v>
      </c>
    </row>
    <row r="21" spans="1:6" ht="15.75" x14ac:dyDescent="0.25">
      <c r="A21" s="448"/>
      <c r="B21" s="445"/>
      <c r="C21" s="449" t="s">
        <v>1256</v>
      </c>
      <c r="D21" s="552">
        <f>D17+D18+D19+D20</f>
        <v>116907400</v>
      </c>
      <c r="E21" s="551">
        <f>E17+E18+E19+E20</f>
        <v>23381480</v>
      </c>
      <c r="F21" s="551">
        <f>F17+F18+F19+F20</f>
        <v>140288880</v>
      </c>
    </row>
  </sheetData>
  <mergeCells count="12">
    <mergeCell ref="A14:A15"/>
    <mergeCell ref="C14:C15"/>
    <mergeCell ref="F14:F15"/>
    <mergeCell ref="E14:E15"/>
    <mergeCell ref="D14:D15"/>
    <mergeCell ref="A1:F1"/>
    <mergeCell ref="B3:F3"/>
    <mergeCell ref="A12:C12"/>
    <mergeCell ref="A10:C10"/>
    <mergeCell ref="A11:C11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5" workbookViewId="0">
      <selection activeCell="B33" sqref="B33"/>
    </sheetView>
  </sheetViews>
  <sheetFormatPr defaultColWidth="9.140625" defaultRowHeight="15" x14ac:dyDescent="0.25"/>
  <cols>
    <col min="1" max="6" width="9.140625" style="432"/>
    <col min="7" max="7" width="15" style="432" bestFit="1" customWidth="1"/>
    <col min="8" max="16384" width="9.140625" style="432"/>
  </cols>
  <sheetData>
    <row r="1" spans="1:15" x14ac:dyDescent="0.25">
      <c r="A1" s="614" t="s">
        <v>1344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pans="1:15" x14ac:dyDescent="0.25">
      <c r="A2" s="614" t="s">
        <v>1345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4" spans="1:15" x14ac:dyDescent="0.25">
      <c r="A4" s="433" t="s">
        <v>1346</v>
      </c>
      <c r="C4" s="432" t="str">
        <f>НМЦК!B3</f>
        <v>Всесезонный туристско-рекреационный комплекс «Эльбрус», 
Кабардино-Балкарская Республика. Пассажирская подвесная канатная дорога EL3</v>
      </c>
    </row>
    <row r="6" spans="1:15" ht="36.6" customHeight="1" x14ac:dyDescent="0.25">
      <c r="A6" s="615" t="s">
        <v>1347</v>
      </c>
      <c r="B6" s="615"/>
      <c r="C6" s="615"/>
      <c r="D6" s="615"/>
      <c r="E6" s="615"/>
      <c r="F6" s="615"/>
      <c r="G6" s="439">
        <f>'Проект сметы контракта'!G332</f>
        <v>140288880</v>
      </c>
    </row>
    <row r="7" spans="1:15" ht="25.9" customHeight="1" x14ac:dyDescent="0.25">
      <c r="A7" s="615" t="s">
        <v>1505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</row>
    <row r="8" spans="1:15" x14ac:dyDescent="0.25">
      <c r="A8" s="433" t="s">
        <v>1348</v>
      </c>
    </row>
    <row r="9" spans="1:15" x14ac:dyDescent="0.25">
      <c r="A9" s="434" t="s">
        <v>1349</v>
      </c>
      <c r="B9" s="435"/>
      <c r="C9" s="435"/>
      <c r="D9" s="435"/>
      <c r="E9" s="435"/>
    </row>
    <row r="10" spans="1:15" x14ac:dyDescent="0.25">
      <c r="A10" s="434" t="s">
        <v>1350</v>
      </c>
      <c r="B10" s="435"/>
      <c r="C10" s="435"/>
      <c r="D10" s="435"/>
      <c r="E10" s="435"/>
      <c r="F10" s="435"/>
      <c r="G10" s="435"/>
      <c r="H10" s="435"/>
      <c r="I10" s="435"/>
    </row>
    <row r="11" spans="1:15" x14ac:dyDescent="0.25">
      <c r="A11" s="434" t="s">
        <v>1351</v>
      </c>
      <c r="B11" s="435"/>
      <c r="C11" s="435"/>
      <c r="D11" s="435"/>
      <c r="E11" s="435"/>
      <c r="F11" s="435"/>
      <c r="G11" s="435"/>
      <c r="H11" s="435"/>
      <c r="I11" s="435"/>
    </row>
    <row r="12" spans="1:15" x14ac:dyDescent="0.25">
      <c r="A12" s="434" t="s">
        <v>1352</v>
      </c>
      <c r="B12" s="435"/>
      <c r="C12" s="435"/>
      <c r="D12" s="435"/>
      <c r="E12" s="435"/>
      <c r="F12" s="435"/>
      <c r="G12" s="435"/>
      <c r="H12" s="435"/>
      <c r="I12" s="435"/>
    </row>
    <row r="13" spans="1:15" x14ac:dyDescent="0.25">
      <c r="A13" s="434" t="s">
        <v>1353</v>
      </c>
      <c r="B13" s="435"/>
      <c r="C13" s="435"/>
      <c r="D13" s="435"/>
      <c r="E13" s="435"/>
      <c r="F13" s="435"/>
      <c r="G13" s="435"/>
      <c r="H13" s="435"/>
      <c r="I13" s="435"/>
    </row>
    <row r="14" spans="1:15" x14ac:dyDescent="0.25">
      <c r="A14" s="434" t="s">
        <v>1354</v>
      </c>
      <c r="B14" s="435"/>
      <c r="C14" s="435"/>
      <c r="D14" s="435"/>
      <c r="E14" s="435"/>
      <c r="F14" s="435"/>
      <c r="G14" s="435"/>
      <c r="H14" s="435"/>
      <c r="I14" s="435"/>
    </row>
    <row r="15" spans="1:15" x14ac:dyDescent="0.25">
      <c r="A15" s="434" t="s">
        <v>1404</v>
      </c>
      <c r="B15" s="435"/>
      <c r="C15" s="435"/>
      <c r="D15" s="435"/>
      <c r="E15" s="435"/>
      <c r="F15" s="435"/>
      <c r="G15" s="435"/>
      <c r="H15" s="435"/>
      <c r="I15" s="435"/>
    </row>
    <row r="16" spans="1:15" s="433" customFormat="1" x14ac:dyDescent="0.25">
      <c r="A16" s="434" t="s">
        <v>1374</v>
      </c>
      <c r="B16" s="434"/>
      <c r="C16" s="434"/>
      <c r="D16" s="434"/>
      <c r="E16" s="434"/>
      <c r="F16" s="434"/>
      <c r="G16" s="434"/>
      <c r="H16" s="434"/>
      <c r="I16" s="434"/>
    </row>
    <row r="17" spans="1:15" s="433" customFormat="1" x14ac:dyDescent="0.25">
      <c r="A17" s="434" t="s">
        <v>1355</v>
      </c>
      <c r="B17" s="434"/>
      <c r="C17" s="434"/>
      <c r="D17" s="434"/>
      <c r="E17" s="434"/>
      <c r="F17" s="434"/>
      <c r="G17" s="434"/>
      <c r="H17" s="434"/>
      <c r="I17" s="434"/>
    </row>
    <row r="18" spans="1:15" s="433" customFormat="1" x14ac:dyDescent="0.25">
      <c r="A18" s="434" t="s">
        <v>1356</v>
      </c>
      <c r="B18" s="434"/>
      <c r="C18" s="434"/>
      <c r="D18" s="434"/>
      <c r="E18" s="434"/>
      <c r="F18" s="434"/>
      <c r="G18" s="434"/>
      <c r="H18" s="434"/>
      <c r="I18" s="434"/>
    </row>
    <row r="19" spans="1:15" s="433" customFormat="1" x14ac:dyDescent="0.25">
      <c r="A19" s="434" t="s">
        <v>1387</v>
      </c>
      <c r="B19" s="434"/>
      <c r="C19" s="434"/>
      <c r="D19" s="434"/>
      <c r="E19" s="434"/>
      <c r="F19" s="434"/>
      <c r="G19" s="434"/>
      <c r="H19" s="434"/>
      <c r="I19" s="434"/>
    </row>
    <row r="20" spans="1:15" s="433" customFormat="1" x14ac:dyDescent="0.25">
      <c r="A20" s="434" t="s">
        <v>1357</v>
      </c>
      <c r="B20" s="434"/>
      <c r="C20" s="434"/>
      <c r="D20" s="434"/>
      <c r="E20" s="434"/>
      <c r="F20" s="434"/>
      <c r="G20" s="434"/>
      <c r="H20" s="434"/>
      <c r="I20" s="434"/>
    </row>
    <row r="21" spans="1:15" s="433" customFormat="1" x14ac:dyDescent="0.25">
      <c r="A21" s="434" t="s">
        <v>1358</v>
      </c>
      <c r="B21" s="434"/>
      <c r="C21" s="434"/>
      <c r="D21" s="434"/>
      <c r="E21" s="434"/>
      <c r="F21" s="434"/>
      <c r="G21" s="434"/>
      <c r="H21" s="434"/>
      <c r="I21" s="434"/>
    </row>
    <row r="22" spans="1:15" s="433" customFormat="1" x14ac:dyDescent="0.25">
      <c r="A22" s="434" t="s">
        <v>1368</v>
      </c>
      <c r="B22" s="434"/>
      <c r="C22" s="434"/>
      <c r="D22" s="434"/>
      <c r="E22" s="434"/>
      <c r="F22" s="434"/>
      <c r="G22" s="434"/>
      <c r="H22" s="434"/>
      <c r="I22" s="434"/>
    </row>
    <row r="23" spans="1:15" s="433" customFormat="1" x14ac:dyDescent="0.25">
      <c r="A23" s="434" t="s">
        <v>1369</v>
      </c>
      <c r="B23" s="434"/>
      <c r="C23" s="434"/>
      <c r="D23" s="434"/>
      <c r="E23" s="434"/>
      <c r="F23" s="434"/>
      <c r="G23" s="434"/>
      <c r="H23" s="434"/>
      <c r="I23" s="434"/>
    </row>
    <row r="24" spans="1:15" s="437" customFormat="1" x14ac:dyDescent="0.25">
      <c r="A24" s="434" t="s">
        <v>1370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</row>
    <row r="25" spans="1:15" s="437" customFormat="1" x14ac:dyDescent="0.25">
      <c r="A25" s="434" t="s">
        <v>1371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</row>
    <row r="26" spans="1:15" s="437" customFormat="1" x14ac:dyDescent="0.25">
      <c r="A26" s="434" t="s">
        <v>1372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</row>
    <row r="27" spans="1:15" s="437" customFormat="1" hidden="1" x14ac:dyDescent="0.25">
      <c r="A27" s="434" t="s">
        <v>1373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</row>
    <row r="28" spans="1:15" s="437" customFormat="1" x14ac:dyDescent="0.25">
      <c r="A28" s="434" t="s">
        <v>1359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</row>
    <row r="29" spans="1:15" s="437" customFormat="1" hidden="1" x14ac:dyDescent="0.25">
      <c r="A29" s="434" t="s">
        <v>1416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</row>
    <row r="30" spans="1:15" s="433" customFormat="1" x14ac:dyDescent="0.25">
      <c r="A30" s="434" t="s">
        <v>1360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</row>
    <row r="31" spans="1:15" s="437" customFormat="1" ht="30" customHeight="1" x14ac:dyDescent="0.25">
      <c r="A31" s="616" t="s">
        <v>1361</v>
      </c>
      <c r="B31" s="616"/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</row>
    <row r="32" spans="1:15" s="437" customFormat="1" x14ac:dyDescent="0.25">
      <c r="A32" s="434" t="s">
        <v>1362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</row>
    <row r="33" spans="1:15" s="437" customFormat="1" x14ac:dyDescent="0.25">
      <c r="A33" s="434" t="s">
        <v>1363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</row>
    <row r="34" spans="1:15" s="437" customFormat="1" x14ac:dyDescent="0.25">
      <c r="A34" s="436"/>
      <c r="B34" s="436"/>
      <c r="C34" s="436"/>
      <c r="D34" s="436"/>
      <c r="E34" s="436"/>
      <c r="F34" s="436"/>
      <c r="G34" s="436"/>
      <c r="H34" s="436"/>
      <c r="I34" s="436"/>
      <c r="J34" s="436"/>
      <c r="K34" s="436"/>
    </row>
    <row r="35" spans="1:15" s="433" customFormat="1" x14ac:dyDescent="0.25">
      <c r="A35" s="434" t="s">
        <v>1364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</row>
    <row r="36" spans="1:15" s="433" customFormat="1" x14ac:dyDescent="0.25">
      <c r="A36" s="434" t="s">
        <v>1365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</row>
    <row r="37" spans="1:15" s="433" customFormat="1" x14ac:dyDescent="0.25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</row>
    <row r="38" spans="1:15" s="433" customFormat="1" x14ac:dyDescent="0.25">
      <c r="A38" s="433" t="s">
        <v>1366</v>
      </c>
      <c r="G38" s="434"/>
      <c r="H38" s="434"/>
      <c r="I38" s="434"/>
      <c r="J38" s="613"/>
      <c r="K38" s="613"/>
      <c r="L38" s="613"/>
      <c r="M38" s="613"/>
      <c r="N38" s="613"/>
      <c r="O38" s="613"/>
    </row>
    <row r="39" spans="1:15" x14ac:dyDescent="0.25">
      <c r="A39" s="433"/>
      <c r="G39" s="435"/>
      <c r="H39" s="435"/>
      <c r="I39" s="435"/>
      <c r="J39" s="438" t="s">
        <v>1367</v>
      </c>
      <c r="K39" s="438"/>
      <c r="L39" s="438"/>
    </row>
  </sheetData>
  <mergeCells count="6">
    <mergeCell ref="J38:O38"/>
    <mergeCell ref="A1:O1"/>
    <mergeCell ref="A2:O2"/>
    <mergeCell ref="A6:F6"/>
    <mergeCell ref="A7:O7"/>
    <mergeCell ref="A31:O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view="pageBreakPreview" topLeftCell="A296" zoomScaleNormal="100" zoomScaleSheetLayoutView="100" workbookViewId="0">
      <pane xSplit="1" topLeftCell="C1" activePane="topRight" state="frozen"/>
      <selection activeCell="A12" sqref="A12"/>
      <selection pane="topRight" activeCell="A336" sqref="A336:C336"/>
    </sheetView>
  </sheetViews>
  <sheetFormatPr defaultRowHeight="12.75" outlineLevelRow="3" x14ac:dyDescent="0.2"/>
  <cols>
    <col min="1" max="1" width="11.28515625" style="98" bestFit="1" customWidth="1"/>
    <col min="2" max="2" width="21.85546875" hidden="1" customWidth="1"/>
    <col min="3" max="3" width="54.42578125" customWidth="1"/>
    <col min="4" max="4" width="19" customWidth="1"/>
    <col min="5" max="5" width="14.85546875" style="167" customWidth="1"/>
    <col min="6" max="7" width="19.7109375" customWidth="1"/>
    <col min="8" max="8" width="38.7109375" hidden="1" customWidth="1"/>
    <col min="9" max="9" width="15" hidden="1" customWidth="1"/>
    <col min="10" max="10" width="12.85546875" hidden="1" customWidth="1"/>
    <col min="11" max="11" width="14" hidden="1" customWidth="1"/>
    <col min="12" max="12" width="14.85546875" hidden="1" customWidth="1"/>
    <col min="13" max="13" width="12.85546875" hidden="1" customWidth="1"/>
  </cols>
  <sheetData>
    <row r="1" spans="1:13" ht="29.25" customHeight="1" x14ac:dyDescent="0.2">
      <c r="A1" s="602" t="s">
        <v>1341</v>
      </c>
      <c r="B1" s="602"/>
      <c r="C1" s="602"/>
      <c r="D1" s="602"/>
      <c r="E1" s="602"/>
      <c r="F1" s="602"/>
      <c r="G1" s="602"/>
    </row>
    <row r="2" spans="1:13" ht="29.25" hidden="1" customHeight="1" x14ac:dyDescent="0.2">
      <c r="A2" s="215"/>
      <c r="B2" s="215"/>
      <c r="C2" s="215"/>
      <c r="D2" s="288"/>
      <c r="E2" s="215"/>
      <c r="F2" s="215"/>
      <c r="G2" s="215"/>
    </row>
    <row r="3" spans="1:13" ht="29.25" customHeight="1" x14ac:dyDescent="0.2">
      <c r="A3" s="289" t="s">
        <v>1199</v>
      </c>
      <c r="B3" s="603" t="s">
        <v>302</v>
      </c>
      <c r="C3" s="623"/>
      <c r="D3" s="623"/>
      <c r="E3" s="623"/>
    </row>
    <row r="4" spans="1:13" ht="29.25" hidden="1" customHeight="1" x14ac:dyDescent="0.25">
      <c r="A4" s="290" t="s">
        <v>1200</v>
      </c>
      <c r="B4" s="290" t="s">
        <v>1272</v>
      </c>
      <c r="C4" s="290"/>
      <c r="D4" s="291"/>
      <c r="E4" s="290"/>
      <c r="F4" s="292"/>
      <c r="G4" s="292"/>
    </row>
    <row r="5" spans="1:13" ht="29.25" hidden="1" customHeight="1" x14ac:dyDescent="0.25">
      <c r="A5" s="293" t="s">
        <v>1201</v>
      </c>
      <c r="B5" s="147"/>
      <c r="C5" s="147"/>
      <c r="D5" s="148"/>
      <c r="E5" s="147"/>
      <c r="F5" s="292"/>
      <c r="G5" s="292"/>
    </row>
    <row r="6" spans="1:13" ht="29.25" hidden="1" customHeight="1" x14ac:dyDescent="0.2">
      <c r="A6" s="300" t="s">
        <v>1202</v>
      </c>
      <c r="B6" s="300"/>
      <c r="C6" s="347"/>
      <c r="D6" s="347"/>
      <c r="E6" s="347"/>
      <c r="F6" s="294"/>
      <c r="G6" s="294"/>
    </row>
    <row r="7" spans="1:13" ht="29.25" hidden="1" customHeight="1" x14ac:dyDescent="0.2">
      <c r="A7" s="606" t="s">
        <v>1273</v>
      </c>
      <c r="B7" s="606"/>
      <c r="C7" s="606"/>
      <c r="D7" s="606"/>
      <c r="E7" s="606"/>
    </row>
    <row r="8" spans="1:13" ht="29.25" hidden="1" customHeight="1" x14ac:dyDescent="0.2">
      <c r="A8" s="606" t="s">
        <v>1271</v>
      </c>
      <c r="B8" s="606"/>
      <c r="C8" s="606"/>
      <c r="D8" s="606"/>
      <c r="E8" s="606"/>
    </row>
    <row r="9" spans="1:13" ht="29.25" customHeight="1" x14ac:dyDescent="0.25">
      <c r="A9" s="147"/>
      <c r="B9" s="147"/>
      <c r="C9" s="147"/>
      <c r="D9" s="148"/>
      <c r="E9" s="147"/>
    </row>
    <row r="10" spans="1:13" ht="32.25" customHeight="1" x14ac:dyDescent="0.2">
      <c r="A10" s="607" t="s">
        <v>1</v>
      </c>
      <c r="B10" s="418" t="s">
        <v>245</v>
      </c>
      <c r="C10" s="609" t="s">
        <v>246</v>
      </c>
      <c r="D10" s="609" t="s">
        <v>247</v>
      </c>
      <c r="E10" s="609" t="s">
        <v>248</v>
      </c>
      <c r="F10" s="626" t="s">
        <v>1342</v>
      </c>
      <c r="G10" s="627"/>
      <c r="H10" s="150" t="s">
        <v>681</v>
      </c>
      <c r="I10" s="150" t="s">
        <v>728</v>
      </c>
      <c r="J10" s="150" t="s">
        <v>732</v>
      </c>
      <c r="K10" s="218" t="s">
        <v>963</v>
      </c>
      <c r="L10" s="218" t="s">
        <v>964</v>
      </c>
      <c r="M10" s="218" t="s">
        <v>965</v>
      </c>
    </row>
    <row r="11" spans="1:13" ht="31.5" x14ac:dyDescent="0.2">
      <c r="A11" s="608"/>
      <c r="B11" s="418"/>
      <c r="C11" s="610"/>
      <c r="D11" s="610"/>
      <c r="E11" s="610"/>
      <c r="F11" s="419" t="s">
        <v>1343</v>
      </c>
      <c r="G11" s="419" t="s">
        <v>1256</v>
      </c>
      <c r="H11" s="150"/>
      <c r="I11" s="150"/>
      <c r="J11" s="150"/>
      <c r="K11" s="295"/>
      <c r="L11" s="295"/>
      <c r="M11" s="295"/>
    </row>
    <row r="12" spans="1:13" ht="15.75" x14ac:dyDescent="0.2">
      <c r="A12" s="418">
        <v>1</v>
      </c>
      <c r="B12" s="418"/>
      <c r="C12" s="418">
        <v>2</v>
      </c>
      <c r="D12" s="420">
        <v>3</v>
      </c>
      <c r="E12" s="420">
        <v>4</v>
      </c>
      <c r="F12" s="420">
        <v>5</v>
      </c>
      <c r="G12" s="420">
        <v>6</v>
      </c>
      <c r="H12" s="150"/>
      <c r="I12" s="150"/>
      <c r="J12" s="150"/>
      <c r="K12" s="295"/>
      <c r="L12" s="295"/>
      <c r="M12" s="295"/>
    </row>
    <row r="13" spans="1:13" s="369" customFormat="1" ht="22.15" customHeight="1" x14ac:dyDescent="0.2">
      <c r="A13" s="152">
        <v>1</v>
      </c>
      <c r="B13" s="152"/>
      <c r="C13" s="153" t="s">
        <v>249</v>
      </c>
      <c r="D13" s="297" t="s">
        <v>250</v>
      </c>
      <c r="E13" s="364">
        <v>1</v>
      </c>
      <c r="F13" s="421">
        <f t="shared" ref="F13:F23" si="0">G13/E13</f>
        <v>2364965</v>
      </c>
      <c r="G13" s="366">
        <f>НМЦК!K12</f>
        <v>2364965</v>
      </c>
      <c r="H13" s="367"/>
      <c r="I13" s="367"/>
      <c r="J13" s="367"/>
      <c r="K13" s="368">
        <v>44166</v>
      </c>
      <c r="L13" s="368">
        <v>44256</v>
      </c>
      <c r="M13" s="369">
        <f>L13-K13</f>
        <v>90</v>
      </c>
    </row>
    <row r="14" spans="1:13" s="362" customFormat="1" ht="34.5" customHeight="1" outlineLevel="1" x14ac:dyDescent="0.2">
      <c r="A14" s="282" t="s">
        <v>251</v>
      </c>
      <c r="B14" s="282" t="s">
        <v>66</v>
      </c>
      <c r="C14" s="415" t="s">
        <v>252</v>
      </c>
      <c r="D14" s="359" t="s">
        <v>250</v>
      </c>
      <c r="E14" s="154">
        <v>1</v>
      </c>
      <c r="F14" s="422">
        <f t="shared" si="0"/>
        <v>2318593</v>
      </c>
      <c r="G14" s="337">
        <f>НМЦК!K13</f>
        <v>2318593</v>
      </c>
      <c r="H14" s="360"/>
      <c r="I14" s="360"/>
      <c r="J14" s="360"/>
    </row>
    <row r="15" spans="1:13" s="362" customFormat="1" ht="15.75" outlineLevel="1" x14ac:dyDescent="0.2">
      <c r="A15" s="282" t="s">
        <v>961</v>
      </c>
      <c r="B15" s="283"/>
      <c r="C15" s="283" t="s">
        <v>1209</v>
      </c>
      <c r="D15" s="405" t="s">
        <v>250</v>
      </c>
      <c r="E15" s="154">
        <v>1</v>
      </c>
      <c r="F15" s="422">
        <f t="shared" si="0"/>
        <v>46372</v>
      </c>
      <c r="G15" s="337">
        <f>НМЦК!K14</f>
        <v>46372</v>
      </c>
      <c r="H15" s="360"/>
      <c r="I15" s="360"/>
      <c r="J15" s="360"/>
    </row>
    <row r="16" spans="1:13" s="369" customFormat="1" ht="32.450000000000003" customHeight="1" x14ac:dyDescent="0.2">
      <c r="A16" s="159" t="s">
        <v>253</v>
      </c>
      <c r="B16" s="159"/>
      <c r="C16" s="153" t="s">
        <v>254</v>
      </c>
      <c r="D16" s="297" t="s">
        <v>250</v>
      </c>
      <c r="E16" s="364">
        <v>1</v>
      </c>
      <c r="F16" s="421">
        <f t="shared" si="0"/>
        <v>113720518</v>
      </c>
      <c r="G16" s="364">
        <f>НМЦК!K15</f>
        <v>113720518</v>
      </c>
      <c r="H16" s="367"/>
      <c r="I16" s="367"/>
      <c r="J16" s="367"/>
    </row>
    <row r="17" spans="1:13" s="362" customFormat="1" ht="15.75" customHeight="1" outlineLevel="1" x14ac:dyDescent="0.2">
      <c r="A17" s="363" t="s">
        <v>255</v>
      </c>
      <c r="B17" s="363"/>
      <c r="C17" s="358" t="s">
        <v>966</v>
      </c>
      <c r="D17" s="359" t="s">
        <v>250</v>
      </c>
      <c r="E17" s="154">
        <v>1</v>
      </c>
      <c r="F17" s="422">
        <f t="shared" si="0"/>
        <v>2997993</v>
      </c>
      <c r="G17" s="337">
        <f>НМЦК!K16</f>
        <v>2997993</v>
      </c>
      <c r="H17" s="360"/>
      <c r="I17" s="360"/>
      <c r="J17" s="360"/>
      <c r="K17" s="361">
        <v>44287</v>
      </c>
      <c r="L17" s="361">
        <v>44348</v>
      </c>
      <c r="M17" s="362">
        <f>L17-K17</f>
        <v>61</v>
      </c>
    </row>
    <row r="18" spans="1:13" s="373" customFormat="1" ht="33.75" hidden="1" customHeight="1" outlineLevel="2" x14ac:dyDescent="0.2">
      <c r="A18" s="208" t="s">
        <v>256</v>
      </c>
      <c r="B18" s="100" t="s">
        <v>20</v>
      </c>
      <c r="C18" s="384" t="s">
        <v>21</v>
      </c>
      <c r="D18" s="317" t="s">
        <v>262</v>
      </c>
      <c r="E18" s="385">
        <f>1483.2</f>
        <v>1483.2</v>
      </c>
      <c r="F18" s="423">
        <f t="shared" si="0"/>
        <v>27.48</v>
      </c>
      <c r="G18" s="339">
        <f>НМЦК!K17</f>
        <v>40751</v>
      </c>
      <c r="H18" s="372"/>
      <c r="I18" s="372"/>
      <c r="J18" s="372"/>
    </row>
    <row r="19" spans="1:13" s="373" customFormat="1" ht="15.75" hidden="1" outlineLevel="2" x14ac:dyDescent="0.2">
      <c r="A19" s="208" t="s">
        <v>257</v>
      </c>
      <c r="B19" s="100" t="s">
        <v>103</v>
      </c>
      <c r="C19" s="100" t="s">
        <v>104</v>
      </c>
      <c r="D19" s="157" t="s">
        <v>250</v>
      </c>
      <c r="E19" s="277">
        <v>1</v>
      </c>
      <c r="F19" s="423">
        <f t="shared" si="0"/>
        <v>2957242</v>
      </c>
      <c r="G19" s="339">
        <f>НМЦК!K18</f>
        <v>2957242</v>
      </c>
      <c r="H19" s="372"/>
      <c r="I19" s="372"/>
      <c r="J19" s="372"/>
    </row>
    <row r="20" spans="1:13" s="390" customFormat="1" ht="38.25" hidden="1" outlineLevel="3" x14ac:dyDescent="0.2">
      <c r="A20" s="191" t="s">
        <v>1210</v>
      </c>
      <c r="B20" s="132" t="s">
        <v>682</v>
      </c>
      <c r="C20" s="132" t="s">
        <v>706</v>
      </c>
      <c r="D20" s="315" t="s">
        <v>262</v>
      </c>
      <c r="E20" s="233">
        <v>618</v>
      </c>
      <c r="F20" s="424">
        <f t="shared" si="0"/>
        <v>155.32</v>
      </c>
      <c r="G20" s="388">
        <f>НМЦК!K19</f>
        <v>95990</v>
      </c>
      <c r="H20" s="389" t="s">
        <v>684</v>
      </c>
      <c r="I20" s="194"/>
      <c r="J20" s="194"/>
    </row>
    <row r="21" spans="1:13" s="390" customFormat="1" ht="51" hidden="1" outlineLevel="3" x14ac:dyDescent="0.2">
      <c r="A21" s="191" t="s">
        <v>1211</v>
      </c>
      <c r="B21" s="132" t="s">
        <v>683</v>
      </c>
      <c r="C21" s="132" t="s">
        <v>704</v>
      </c>
      <c r="D21" s="315" t="s">
        <v>271</v>
      </c>
      <c r="E21" s="233">
        <v>2060</v>
      </c>
      <c r="F21" s="424">
        <f t="shared" si="0"/>
        <v>2.88</v>
      </c>
      <c r="G21" s="388">
        <f>НМЦК!K20</f>
        <v>5925</v>
      </c>
      <c r="H21" s="389" t="s">
        <v>1384</v>
      </c>
      <c r="I21" s="194"/>
      <c r="J21" s="194"/>
    </row>
    <row r="22" spans="1:13" s="390" customFormat="1" ht="38.25" hidden="1" outlineLevel="3" x14ac:dyDescent="0.2">
      <c r="A22" s="191" t="s">
        <v>1212</v>
      </c>
      <c r="B22" s="132" t="s">
        <v>685</v>
      </c>
      <c r="C22" s="132" t="s">
        <v>707</v>
      </c>
      <c r="D22" s="315" t="s">
        <v>262</v>
      </c>
      <c r="E22" s="233">
        <v>618</v>
      </c>
      <c r="F22" s="424">
        <f t="shared" si="0"/>
        <v>153.82</v>
      </c>
      <c r="G22" s="388">
        <f>НМЦК!K21</f>
        <v>95062</v>
      </c>
      <c r="H22" s="389" t="s">
        <v>708</v>
      </c>
      <c r="I22" s="194"/>
      <c r="J22" s="194"/>
    </row>
    <row r="23" spans="1:13" s="390" customFormat="1" ht="127.5" hidden="1" outlineLevel="3" x14ac:dyDescent="0.2">
      <c r="A23" s="191" t="s">
        <v>1213</v>
      </c>
      <c r="B23" s="132" t="s">
        <v>686</v>
      </c>
      <c r="C23" s="132" t="s">
        <v>688</v>
      </c>
      <c r="D23" s="315" t="s">
        <v>363</v>
      </c>
      <c r="E23" s="233">
        <v>1508</v>
      </c>
      <c r="F23" s="424">
        <f t="shared" si="0"/>
        <v>1811.08</v>
      </c>
      <c r="G23" s="388">
        <f>НМЦК!K22</f>
        <v>2731104</v>
      </c>
      <c r="H23" s="389" t="s">
        <v>687</v>
      </c>
      <c r="I23" s="194"/>
      <c r="J23" s="194"/>
    </row>
    <row r="24" spans="1:13" s="390" customFormat="1" ht="15.75" hidden="1" outlineLevel="3" x14ac:dyDescent="0.2">
      <c r="A24" s="191"/>
      <c r="B24" s="132"/>
      <c r="C24" s="132" t="s">
        <v>689</v>
      </c>
      <c r="D24" s="315"/>
      <c r="E24" s="233"/>
      <c r="F24" s="425"/>
      <c r="G24" s="391">
        <f>НМЦК!K23</f>
        <v>0</v>
      </c>
      <c r="H24" s="194"/>
      <c r="I24" s="194"/>
      <c r="J24" s="194"/>
    </row>
    <row r="25" spans="1:13" s="390" customFormat="1" ht="15.75" hidden="1" outlineLevel="3" x14ac:dyDescent="0.2">
      <c r="A25" s="191" t="s">
        <v>1214</v>
      </c>
      <c r="B25" s="132" t="s">
        <v>690</v>
      </c>
      <c r="C25" s="132" t="s">
        <v>696</v>
      </c>
      <c r="D25" s="315" t="s">
        <v>271</v>
      </c>
      <c r="E25" s="233">
        <v>600</v>
      </c>
      <c r="F25" s="424">
        <f>G25/E25</f>
        <v>12.57</v>
      </c>
      <c r="G25" s="388">
        <f>НМЦК!K24</f>
        <v>7542</v>
      </c>
      <c r="H25" s="194"/>
      <c r="I25" s="194"/>
      <c r="J25" s="194"/>
    </row>
    <row r="26" spans="1:13" s="390" customFormat="1" ht="15.75" hidden="1" outlineLevel="3" x14ac:dyDescent="0.2">
      <c r="A26" s="191"/>
      <c r="B26" s="132"/>
      <c r="C26" s="132" t="s">
        <v>691</v>
      </c>
      <c r="D26" s="315"/>
      <c r="E26" s="233"/>
      <c r="F26" s="424"/>
      <c r="G26" s="388">
        <f>НМЦК!K25</f>
        <v>0</v>
      </c>
      <c r="H26" s="194"/>
      <c r="I26" s="194"/>
      <c r="J26" s="194"/>
    </row>
    <row r="27" spans="1:13" s="390" customFormat="1" ht="15.75" hidden="1" outlineLevel="3" x14ac:dyDescent="0.2">
      <c r="A27" s="191" t="s">
        <v>1215</v>
      </c>
      <c r="B27" s="132" t="s">
        <v>692</v>
      </c>
      <c r="C27" s="132" t="s">
        <v>696</v>
      </c>
      <c r="D27" s="315" t="s">
        <v>271</v>
      </c>
      <c r="E27" s="233">
        <v>450</v>
      </c>
      <c r="F27" s="424">
        <f>G27/E27</f>
        <v>12.57</v>
      </c>
      <c r="G27" s="388">
        <f>НМЦК!K26</f>
        <v>5655</v>
      </c>
      <c r="H27" s="194"/>
      <c r="I27" s="194"/>
      <c r="J27" s="194"/>
    </row>
    <row r="28" spans="1:13" s="390" customFormat="1" ht="15.75" hidden="1" outlineLevel="3" x14ac:dyDescent="0.2">
      <c r="A28" s="191"/>
      <c r="B28" s="132"/>
      <c r="C28" s="132" t="s">
        <v>693</v>
      </c>
      <c r="D28" s="315"/>
      <c r="E28" s="233"/>
      <c r="F28" s="424"/>
      <c r="G28" s="388">
        <f>НМЦК!K27</f>
        <v>0</v>
      </c>
      <c r="H28" s="194"/>
      <c r="I28" s="194"/>
      <c r="J28" s="194"/>
    </row>
    <row r="29" spans="1:13" s="390" customFormat="1" ht="15.75" hidden="1" outlineLevel="3" x14ac:dyDescent="0.2">
      <c r="A29" s="191" t="s">
        <v>1216</v>
      </c>
      <c r="B29" s="132" t="s">
        <v>694</v>
      </c>
      <c r="C29" s="132" t="s">
        <v>696</v>
      </c>
      <c r="D29" s="315" t="s">
        <v>271</v>
      </c>
      <c r="E29" s="233">
        <v>450</v>
      </c>
      <c r="F29" s="424">
        <f>G29/E29</f>
        <v>12.57</v>
      </c>
      <c r="G29" s="388">
        <f>НМЦК!K28</f>
        <v>5655</v>
      </c>
      <c r="H29" s="194"/>
      <c r="I29" s="194"/>
      <c r="J29" s="194"/>
    </row>
    <row r="30" spans="1:13" s="390" customFormat="1" ht="15.75" hidden="1" outlineLevel="3" x14ac:dyDescent="0.2">
      <c r="A30" s="191"/>
      <c r="B30" s="132"/>
      <c r="C30" s="132" t="s">
        <v>695</v>
      </c>
      <c r="D30" s="315"/>
      <c r="E30" s="233"/>
      <c r="F30" s="424"/>
      <c r="G30" s="388">
        <f>НМЦК!K29</f>
        <v>0</v>
      </c>
      <c r="H30" s="194"/>
      <c r="I30" s="194"/>
      <c r="J30" s="194"/>
    </row>
    <row r="31" spans="1:13" s="390" customFormat="1" ht="15.75" hidden="1" outlineLevel="3" x14ac:dyDescent="0.2">
      <c r="A31" s="191" t="s">
        <v>1217</v>
      </c>
      <c r="B31" s="132" t="s">
        <v>697</v>
      </c>
      <c r="C31" s="132" t="s">
        <v>696</v>
      </c>
      <c r="D31" s="315" t="s">
        <v>271</v>
      </c>
      <c r="E31" s="233">
        <v>200</v>
      </c>
      <c r="F31" s="424">
        <f>G31/E31</f>
        <v>12.6</v>
      </c>
      <c r="G31" s="388">
        <f>НМЦК!K30</f>
        <v>2520</v>
      </c>
      <c r="H31" s="194"/>
      <c r="I31" s="194"/>
      <c r="J31" s="194"/>
    </row>
    <row r="32" spans="1:13" s="390" customFormat="1" ht="15.75" hidden="1" outlineLevel="3" x14ac:dyDescent="0.2">
      <c r="A32" s="191"/>
      <c r="B32" s="132"/>
      <c r="C32" s="132" t="s">
        <v>698</v>
      </c>
      <c r="D32" s="315"/>
      <c r="E32" s="233"/>
      <c r="F32" s="424"/>
      <c r="G32" s="388">
        <f>НМЦК!K31</f>
        <v>0</v>
      </c>
      <c r="H32" s="194"/>
      <c r="I32" s="194"/>
      <c r="J32" s="194"/>
    </row>
    <row r="33" spans="1:10" s="390" customFormat="1" ht="15.75" hidden="1" outlineLevel="3" x14ac:dyDescent="0.2">
      <c r="A33" s="191" t="s">
        <v>1218</v>
      </c>
      <c r="B33" s="132" t="s">
        <v>699</v>
      </c>
      <c r="C33" s="132" t="s">
        <v>696</v>
      </c>
      <c r="D33" s="315" t="s">
        <v>271</v>
      </c>
      <c r="E33" s="233">
        <v>200</v>
      </c>
      <c r="F33" s="424">
        <f>G33/E33</f>
        <v>12.6</v>
      </c>
      <c r="G33" s="388">
        <f>НМЦК!K32</f>
        <v>2520</v>
      </c>
      <c r="H33" s="194"/>
      <c r="I33" s="194"/>
      <c r="J33" s="194"/>
    </row>
    <row r="34" spans="1:10" s="390" customFormat="1" ht="15.75" hidden="1" outlineLevel="3" x14ac:dyDescent="0.2">
      <c r="A34" s="191"/>
      <c r="B34" s="132"/>
      <c r="C34" s="132" t="s">
        <v>700</v>
      </c>
      <c r="D34" s="315"/>
      <c r="E34" s="233"/>
      <c r="F34" s="426"/>
      <c r="G34" s="392">
        <f>НМЦК!K33</f>
        <v>0</v>
      </c>
      <c r="H34" s="194"/>
      <c r="I34" s="194"/>
      <c r="J34" s="194"/>
    </row>
    <row r="35" spans="1:10" s="390" customFormat="1" ht="15.75" hidden="1" outlineLevel="3" x14ac:dyDescent="0.2">
      <c r="A35" s="191" t="s">
        <v>1219</v>
      </c>
      <c r="B35" s="132" t="s">
        <v>701</v>
      </c>
      <c r="C35" s="132" t="s">
        <v>696</v>
      </c>
      <c r="D35" s="315" t="s">
        <v>271</v>
      </c>
      <c r="E35" s="233">
        <v>245</v>
      </c>
      <c r="F35" s="424">
        <f>G35/E35</f>
        <v>12.56</v>
      </c>
      <c r="G35" s="388">
        <f>НМЦК!K34</f>
        <v>3077</v>
      </c>
      <c r="H35" s="194"/>
      <c r="I35" s="194"/>
      <c r="J35" s="194"/>
    </row>
    <row r="36" spans="1:10" s="390" customFormat="1" ht="15.75" hidden="1" outlineLevel="3" x14ac:dyDescent="0.2">
      <c r="A36" s="191"/>
      <c r="B36" s="132"/>
      <c r="C36" s="132" t="s">
        <v>702</v>
      </c>
      <c r="D36" s="315"/>
      <c r="E36" s="233"/>
      <c r="F36" s="426"/>
      <c r="G36" s="392">
        <f>НМЦК!K35</f>
        <v>0</v>
      </c>
      <c r="H36" s="194"/>
      <c r="I36" s="194"/>
      <c r="J36" s="194"/>
    </row>
    <row r="37" spans="1:10" s="390" customFormat="1" ht="15.75" hidden="1" outlineLevel="3" x14ac:dyDescent="0.2">
      <c r="A37" s="191" t="s">
        <v>1220</v>
      </c>
      <c r="B37" s="132" t="s">
        <v>703</v>
      </c>
      <c r="C37" s="132" t="s">
        <v>696</v>
      </c>
      <c r="D37" s="315" t="s">
        <v>271</v>
      </c>
      <c r="E37" s="233">
        <v>175</v>
      </c>
      <c r="F37" s="424">
        <f>G37/E37</f>
        <v>12.53</v>
      </c>
      <c r="G37" s="388">
        <f>НМЦК!K36</f>
        <v>2192</v>
      </c>
      <c r="H37" s="194"/>
      <c r="I37" s="194"/>
      <c r="J37" s="194"/>
    </row>
    <row r="38" spans="1:10" s="362" customFormat="1" ht="31.5" outlineLevel="1" collapsed="1" x14ac:dyDescent="0.2">
      <c r="A38" s="363" t="s">
        <v>259</v>
      </c>
      <c r="B38" s="363"/>
      <c r="C38" s="370" t="s">
        <v>968</v>
      </c>
      <c r="D38" s="359" t="s">
        <v>250</v>
      </c>
      <c r="E38" s="154">
        <v>1</v>
      </c>
      <c r="F38" s="422">
        <f>G38/E38</f>
        <v>6896446</v>
      </c>
      <c r="G38" s="337">
        <f>НМЦК!K37</f>
        <v>6896446</v>
      </c>
      <c r="H38" s="154"/>
      <c r="I38" s="360"/>
      <c r="J38" s="360"/>
    </row>
    <row r="39" spans="1:10" s="373" customFormat="1" ht="15.75" hidden="1" outlineLevel="2" x14ac:dyDescent="0.2">
      <c r="A39" s="208"/>
      <c r="B39" s="100"/>
      <c r="C39" s="393" t="s">
        <v>279</v>
      </c>
      <c r="D39" s="157"/>
      <c r="E39" s="277"/>
      <c r="F39" s="423"/>
      <c r="G39" s="339">
        <f>НМЦК!K38</f>
        <v>0</v>
      </c>
      <c r="H39" s="372"/>
      <c r="I39" s="372"/>
      <c r="J39" s="372"/>
    </row>
    <row r="40" spans="1:10" s="373" customFormat="1" ht="15.75" hidden="1" outlineLevel="2" x14ac:dyDescent="0.2">
      <c r="A40" s="208"/>
      <c r="B40" s="100"/>
      <c r="C40" s="267" t="s">
        <v>971</v>
      </c>
      <c r="D40" s="157"/>
      <c r="E40" s="277"/>
      <c r="F40" s="427"/>
      <c r="G40" s="395">
        <f>НМЦК!K39</f>
        <v>0</v>
      </c>
      <c r="H40" s="372"/>
      <c r="I40" s="372"/>
      <c r="J40" s="372"/>
    </row>
    <row r="41" spans="1:10" s="373" customFormat="1" ht="25.5" hidden="1" outlineLevel="2" x14ac:dyDescent="0.2">
      <c r="A41" s="208" t="s">
        <v>260</v>
      </c>
      <c r="B41" s="100" t="s">
        <v>341</v>
      </c>
      <c r="C41" s="100" t="s">
        <v>265</v>
      </c>
      <c r="D41" s="157" t="s">
        <v>262</v>
      </c>
      <c r="E41" s="277">
        <v>2251</v>
      </c>
      <c r="F41" s="423">
        <f>G41/E41</f>
        <v>1668.58</v>
      </c>
      <c r="G41" s="339">
        <f>НМЦК!K40</f>
        <v>3755963</v>
      </c>
      <c r="H41" s="372"/>
      <c r="I41" s="372"/>
      <c r="J41" s="372"/>
    </row>
    <row r="42" spans="1:10" s="373" customFormat="1" ht="15.75" hidden="1" outlineLevel="2" x14ac:dyDescent="0.2">
      <c r="A42" s="208" t="s">
        <v>276</v>
      </c>
      <c r="B42" s="100" t="s">
        <v>1229</v>
      </c>
      <c r="C42" s="100" t="s">
        <v>340</v>
      </c>
      <c r="D42" s="157" t="s">
        <v>262</v>
      </c>
      <c r="E42" s="277">
        <v>2251</v>
      </c>
      <c r="F42" s="423">
        <f>G42/E42</f>
        <v>211</v>
      </c>
      <c r="G42" s="339">
        <f>НМЦК!K41</f>
        <v>474953</v>
      </c>
      <c r="H42" s="372"/>
      <c r="I42" s="372"/>
      <c r="J42" s="372"/>
    </row>
    <row r="43" spans="1:10" s="379" customFormat="1" ht="25.5" hidden="1" outlineLevel="2" x14ac:dyDescent="0.2">
      <c r="A43" s="312" t="s">
        <v>315</v>
      </c>
      <c r="B43" s="171" t="s">
        <v>1230</v>
      </c>
      <c r="C43" s="171" t="s">
        <v>1231</v>
      </c>
      <c r="D43" s="316" t="s">
        <v>262</v>
      </c>
      <c r="E43" s="313">
        <f>312.2*2251/6243</f>
        <v>112.6</v>
      </c>
      <c r="F43" s="428">
        <f>G43/E43</f>
        <v>638.41</v>
      </c>
      <c r="G43" s="377">
        <f>НМЦК!K42</f>
        <v>71885</v>
      </c>
      <c r="H43" s="378" t="s">
        <v>1232</v>
      </c>
      <c r="I43" s="396"/>
      <c r="J43" s="378"/>
    </row>
    <row r="44" spans="1:10" s="379" customFormat="1" ht="15.75" hidden="1" outlineLevel="2" x14ac:dyDescent="0.2">
      <c r="A44" s="312" t="s">
        <v>324</v>
      </c>
      <c r="B44" s="171" t="s">
        <v>1222</v>
      </c>
      <c r="C44" s="171" t="s">
        <v>1223</v>
      </c>
      <c r="D44" s="316" t="s">
        <v>262</v>
      </c>
      <c r="E44" s="313">
        <f>312.2*2251/6243</f>
        <v>112.6</v>
      </c>
      <c r="F44" s="428">
        <f>G44/E44</f>
        <v>256.23</v>
      </c>
      <c r="G44" s="377">
        <f>НМЦК!K43</f>
        <v>28852</v>
      </c>
      <c r="H44" s="378" t="s">
        <v>1232</v>
      </c>
      <c r="I44" s="378"/>
      <c r="J44" s="378"/>
    </row>
    <row r="45" spans="1:10" s="373" customFormat="1" ht="15.75" hidden="1" outlineLevel="2" x14ac:dyDescent="0.2">
      <c r="A45" s="208" t="s">
        <v>1032</v>
      </c>
      <c r="B45" s="100" t="s">
        <v>1221</v>
      </c>
      <c r="C45" s="100" t="s">
        <v>343</v>
      </c>
      <c r="D45" s="157" t="s">
        <v>262</v>
      </c>
      <c r="E45" s="277">
        <v>2059</v>
      </c>
      <c r="F45" s="423">
        <f>G45/E45</f>
        <v>137.65</v>
      </c>
      <c r="G45" s="339">
        <f>НМЦК!K44</f>
        <v>283421</v>
      </c>
      <c r="H45" s="372" t="s">
        <v>344</v>
      </c>
      <c r="I45" s="372"/>
      <c r="J45" s="372"/>
    </row>
    <row r="46" spans="1:10" s="373" customFormat="1" ht="15.75" hidden="1" outlineLevel="2" x14ac:dyDescent="0.2">
      <c r="A46" s="208"/>
      <c r="B46" s="100"/>
      <c r="C46" s="267" t="s">
        <v>970</v>
      </c>
      <c r="D46" s="157"/>
      <c r="E46" s="277"/>
      <c r="F46" s="423"/>
      <c r="G46" s="339">
        <f>НМЦК!K45</f>
        <v>0</v>
      </c>
      <c r="H46" s="372"/>
      <c r="I46" s="372"/>
      <c r="J46" s="372"/>
    </row>
    <row r="47" spans="1:10" s="373" customFormat="1" ht="25.5" hidden="1" outlineLevel="2" x14ac:dyDescent="0.2">
      <c r="A47" s="208" t="s">
        <v>1033</v>
      </c>
      <c r="B47" s="100" t="s">
        <v>422</v>
      </c>
      <c r="C47" s="100" t="s">
        <v>265</v>
      </c>
      <c r="D47" s="157" t="s">
        <v>262</v>
      </c>
      <c r="E47" s="382">
        <f>25.8</f>
        <v>25.8</v>
      </c>
      <c r="F47" s="423">
        <f t="shared" ref="F47:F55" si="1">G47/E47</f>
        <v>1670.23</v>
      </c>
      <c r="G47" s="339">
        <f>НМЦК!K46</f>
        <v>43092</v>
      </c>
      <c r="H47" s="372"/>
      <c r="I47" s="372"/>
      <c r="J47" s="372"/>
    </row>
    <row r="48" spans="1:10" s="373" customFormat="1" ht="15.75" hidden="1" outlineLevel="2" x14ac:dyDescent="0.2">
      <c r="A48" s="208" t="s">
        <v>1034</v>
      </c>
      <c r="B48" s="100" t="s">
        <v>421</v>
      </c>
      <c r="C48" s="100" t="s">
        <v>418</v>
      </c>
      <c r="D48" s="157" t="s">
        <v>262</v>
      </c>
      <c r="E48" s="382">
        <f>10.3</f>
        <v>10.3</v>
      </c>
      <c r="F48" s="423">
        <f t="shared" si="1"/>
        <v>107.18</v>
      </c>
      <c r="G48" s="339">
        <f>НМЦК!K47</f>
        <v>1104</v>
      </c>
      <c r="H48" s="372"/>
      <c r="I48" s="398"/>
      <c r="J48" s="372"/>
    </row>
    <row r="49" spans="1:10" s="373" customFormat="1" ht="25.5" hidden="1" outlineLevel="2" x14ac:dyDescent="0.2">
      <c r="A49" s="208" t="s">
        <v>1035</v>
      </c>
      <c r="B49" s="100" t="s">
        <v>420</v>
      </c>
      <c r="C49" s="100" t="s">
        <v>419</v>
      </c>
      <c r="D49" s="157" t="s">
        <v>262</v>
      </c>
      <c r="E49" s="382">
        <f>15.5</f>
        <v>15.5</v>
      </c>
      <c r="F49" s="423">
        <f t="shared" si="1"/>
        <v>224.58</v>
      </c>
      <c r="G49" s="339">
        <f>НМЦК!K48</f>
        <v>3481</v>
      </c>
      <c r="H49" s="372"/>
      <c r="I49" s="398"/>
      <c r="J49" s="372"/>
    </row>
    <row r="50" spans="1:10" s="373" customFormat="1" ht="15.75" hidden="1" outlineLevel="2" x14ac:dyDescent="0.2">
      <c r="A50" s="208" t="s">
        <v>1036</v>
      </c>
      <c r="B50" s="100" t="s">
        <v>423</v>
      </c>
      <c r="C50" s="100" t="s">
        <v>343</v>
      </c>
      <c r="D50" s="157" t="s">
        <v>262</v>
      </c>
      <c r="E50" s="382">
        <f>10.3</f>
        <v>10.3</v>
      </c>
      <c r="F50" s="423">
        <f t="shared" si="1"/>
        <v>107.18</v>
      </c>
      <c r="G50" s="339">
        <f>НМЦК!K49</f>
        <v>1104</v>
      </c>
      <c r="H50" s="372"/>
      <c r="I50" s="398"/>
      <c r="J50" s="372"/>
    </row>
    <row r="51" spans="1:10" s="373" customFormat="1" ht="15.75" hidden="1" outlineLevel="2" x14ac:dyDescent="0.2">
      <c r="A51" s="208" t="s">
        <v>1037</v>
      </c>
      <c r="B51" s="100" t="s">
        <v>426</v>
      </c>
      <c r="C51" s="100" t="s">
        <v>424</v>
      </c>
      <c r="D51" s="157" t="s">
        <v>305</v>
      </c>
      <c r="E51" s="277">
        <v>1</v>
      </c>
      <c r="F51" s="423">
        <f t="shared" si="1"/>
        <v>193418</v>
      </c>
      <c r="G51" s="339">
        <f>НМЦК!K50</f>
        <v>193418</v>
      </c>
      <c r="H51" s="372" t="s">
        <v>425</v>
      </c>
      <c r="I51" s="372"/>
      <c r="J51" s="372"/>
    </row>
    <row r="52" spans="1:10" s="373" customFormat="1" ht="15.75" hidden="1" outlineLevel="2" x14ac:dyDescent="0.2">
      <c r="A52" s="208" t="s">
        <v>1038</v>
      </c>
      <c r="B52" s="100" t="s">
        <v>428</v>
      </c>
      <c r="C52" s="100" t="s">
        <v>427</v>
      </c>
      <c r="D52" s="157" t="s">
        <v>271</v>
      </c>
      <c r="E52" s="299">
        <f>32.909</f>
        <v>32.908999999999999</v>
      </c>
      <c r="F52" s="423">
        <f t="shared" si="1"/>
        <v>884.35</v>
      </c>
      <c r="G52" s="339">
        <f>НМЦК!K51</f>
        <v>29103</v>
      </c>
      <c r="H52" s="372"/>
      <c r="I52" s="372"/>
      <c r="J52" s="372"/>
    </row>
    <row r="53" spans="1:10" s="373" customFormat="1" ht="15.75" hidden="1" outlineLevel="2" x14ac:dyDescent="0.2">
      <c r="A53" s="208" t="s">
        <v>1334</v>
      </c>
      <c r="B53" s="100" t="s">
        <v>149</v>
      </c>
      <c r="C53" s="100" t="s">
        <v>973</v>
      </c>
      <c r="D53" s="157" t="s">
        <v>305</v>
      </c>
      <c r="E53" s="277">
        <v>1</v>
      </c>
      <c r="F53" s="423">
        <f t="shared" si="1"/>
        <v>1120174</v>
      </c>
      <c r="G53" s="339">
        <f>НМЦК!K52</f>
        <v>1120174</v>
      </c>
      <c r="H53" s="372"/>
      <c r="I53" s="372"/>
      <c r="J53" s="372"/>
    </row>
    <row r="54" spans="1:10" s="373" customFormat="1" ht="15.75" hidden="1" outlineLevel="2" x14ac:dyDescent="0.2">
      <c r="A54" s="208" t="s">
        <v>1335</v>
      </c>
      <c r="B54" s="100" t="s">
        <v>753</v>
      </c>
      <c r="C54" s="100" t="s">
        <v>969</v>
      </c>
      <c r="D54" s="157" t="s">
        <v>305</v>
      </c>
      <c r="E54" s="277">
        <v>1</v>
      </c>
      <c r="F54" s="423">
        <f t="shared" si="1"/>
        <v>889896</v>
      </c>
      <c r="G54" s="339">
        <f>НМЦК!K53</f>
        <v>889896</v>
      </c>
      <c r="H54" s="372" t="s">
        <v>351</v>
      </c>
      <c r="I54" s="372"/>
      <c r="J54" s="372"/>
    </row>
    <row r="55" spans="1:10" s="362" customFormat="1" ht="15.75" outlineLevel="1" collapsed="1" x14ac:dyDescent="0.2">
      <c r="A55" s="282" t="s">
        <v>277</v>
      </c>
      <c r="B55" s="283"/>
      <c r="C55" s="283" t="s">
        <v>972</v>
      </c>
      <c r="D55" s="359" t="s">
        <v>250</v>
      </c>
      <c r="E55" s="154">
        <v>1</v>
      </c>
      <c r="F55" s="422">
        <f t="shared" si="1"/>
        <v>4870726</v>
      </c>
      <c r="G55" s="337">
        <f>НМЦК!K54</f>
        <v>4870726</v>
      </c>
      <c r="H55" s="360"/>
      <c r="I55" s="360"/>
      <c r="J55" s="360"/>
    </row>
    <row r="56" spans="1:10" s="373" customFormat="1" ht="15.75" hidden="1" outlineLevel="2" x14ac:dyDescent="0.2">
      <c r="A56" s="208"/>
      <c r="B56" s="100"/>
      <c r="C56" s="393" t="s">
        <v>279</v>
      </c>
      <c r="D56" s="157"/>
      <c r="E56" s="277"/>
      <c r="F56" s="423"/>
      <c r="G56" s="339">
        <f>НМЦК!K55</f>
        <v>0</v>
      </c>
      <c r="H56" s="372"/>
      <c r="I56" s="372"/>
      <c r="J56" s="372"/>
    </row>
    <row r="57" spans="1:10" s="373" customFormat="1" ht="15.75" hidden="1" outlineLevel="2" x14ac:dyDescent="0.2">
      <c r="A57" s="208"/>
      <c r="B57" s="100"/>
      <c r="C57" s="267" t="s">
        <v>976</v>
      </c>
      <c r="D57" s="157"/>
      <c r="E57" s="277"/>
      <c r="F57" s="423"/>
      <c r="G57" s="339">
        <f>НМЦК!K56</f>
        <v>0</v>
      </c>
      <c r="H57" s="372"/>
      <c r="I57" s="372"/>
      <c r="J57" s="372"/>
    </row>
    <row r="58" spans="1:10" s="373" customFormat="1" ht="25.5" hidden="1" outlineLevel="2" x14ac:dyDescent="0.2">
      <c r="A58" s="208" t="s">
        <v>278</v>
      </c>
      <c r="B58" s="100" t="s">
        <v>341</v>
      </c>
      <c r="C58" s="100" t="s">
        <v>265</v>
      </c>
      <c r="D58" s="157" t="s">
        <v>262</v>
      </c>
      <c r="E58" s="277">
        <v>831</v>
      </c>
      <c r="F58" s="423">
        <f>G58/E58</f>
        <v>1668.58</v>
      </c>
      <c r="G58" s="339">
        <f>НМЦК!K57</f>
        <v>1386589</v>
      </c>
      <c r="H58" s="372"/>
      <c r="I58" s="372"/>
      <c r="J58" s="372"/>
    </row>
    <row r="59" spans="1:10" s="373" customFormat="1" ht="15.75" hidden="1" outlineLevel="2" x14ac:dyDescent="0.2">
      <c r="A59" s="208" t="s">
        <v>280</v>
      </c>
      <c r="B59" s="100" t="s">
        <v>1229</v>
      </c>
      <c r="C59" s="100" t="s">
        <v>340</v>
      </c>
      <c r="D59" s="157" t="s">
        <v>262</v>
      </c>
      <c r="E59" s="277">
        <v>831</v>
      </c>
      <c r="F59" s="423">
        <f>G59/E59</f>
        <v>211</v>
      </c>
      <c r="G59" s="339">
        <f>НМЦК!K58</f>
        <v>175338</v>
      </c>
      <c r="H59" s="372"/>
      <c r="I59" s="372"/>
      <c r="J59" s="372"/>
    </row>
    <row r="60" spans="1:10" s="379" customFormat="1" ht="25.5" hidden="1" outlineLevel="2" x14ac:dyDescent="0.2">
      <c r="A60" s="312" t="s">
        <v>788</v>
      </c>
      <c r="B60" s="171" t="s">
        <v>1230</v>
      </c>
      <c r="C60" s="171" t="s">
        <v>1231</v>
      </c>
      <c r="D60" s="316" t="s">
        <v>262</v>
      </c>
      <c r="E60" s="313">
        <f>312.2*831/6243</f>
        <v>41.6</v>
      </c>
      <c r="F60" s="428">
        <f>G60/E60</f>
        <v>637.92999999999995</v>
      </c>
      <c r="G60" s="377">
        <f>НМЦК!K59</f>
        <v>26538</v>
      </c>
      <c r="H60" s="378" t="s">
        <v>1232</v>
      </c>
      <c r="I60" s="378"/>
      <c r="J60" s="378"/>
    </row>
    <row r="61" spans="1:10" s="379" customFormat="1" ht="15.75" hidden="1" outlineLevel="2" x14ac:dyDescent="0.2">
      <c r="A61" s="312" t="s">
        <v>806</v>
      </c>
      <c r="B61" s="171" t="s">
        <v>1222</v>
      </c>
      <c r="C61" s="171" t="s">
        <v>1223</v>
      </c>
      <c r="D61" s="316" t="s">
        <v>262</v>
      </c>
      <c r="E61" s="313">
        <f>312.2*831/6243</f>
        <v>41.6</v>
      </c>
      <c r="F61" s="428">
        <f>G61/E61</f>
        <v>256.02999999999997</v>
      </c>
      <c r="G61" s="377">
        <f>НМЦК!K60</f>
        <v>10651</v>
      </c>
      <c r="H61" s="378" t="s">
        <v>1232</v>
      </c>
      <c r="I61" s="378"/>
      <c r="J61" s="378"/>
    </row>
    <row r="62" spans="1:10" s="373" customFormat="1" ht="15.75" hidden="1" outlineLevel="2" x14ac:dyDescent="0.2">
      <c r="A62" s="208" t="s">
        <v>808</v>
      </c>
      <c r="B62" s="100" t="s">
        <v>1221</v>
      </c>
      <c r="C62" s="100" t="s">
        <v>343</v>
      </c>
      <c r="D62" s="157" t="s">
        <v>262</v>
      </c>
      <c r="E62" s="277">
        <v>794</v>
      </c>
      <c r="F62" s="423">
        <f>G62/E62</f>
        <v>137.65</v>
      </c>
      <c r="G62" s="339">
        <f>НМЦК!K61</f>
        <v>109294</v>
      </c>
      <c r="H62" s="372" t="s">
        <v>344</v>
      </c>
      <c r="I62" s="372"/>
      <c r="J62" s="372"/>
    </row>
    <row r="63" spans="1:10" s="373" customFormat="1" ht="15.75" hidden="1" outlineLevel="2" x14ac:dyDescent="0.2">
      <c r="A63" s="208"/>
      <c r="B63" s="100"/>
      <c r="C63" s="267" t="s">
        <v>977</v>
      </c>
      <c r="D63" s="157"/>
      <c r="E63" s="277"/>
      <c r="F63" s="423"/>
      <c r="G63" s="339">
        <f>НМЦК!K62</f>
        <v>0</v>
      </c>
      <c r="H63" s="372"/>
      <c r="I63" s="372"/>
      <c r="J63" s="372"/>
    </row>
    <row r="64" spans="1:10" s="373" customFormat="1" ht="25.5" hidden="1" outlineLevel="2" x14ac:dyDescent="0.2">
      <c r="A64" s="208" t="s">
        <v>814</v>
      </c>
      <c r="B64" s="100" t="s">
        <v>341</v>
      </c>
      <c r="C64" s="100" t="s">
        <v>265</v>
      </c>
      <c r="D64" s="157" t="s">
        <v>262</v>
      </c>
      <c r="E64" s="277">
        <v>729</v>
      </c>
      <c r="F64" s="423">
        <f t="shared" ref="F64:F71" si="2">G64/E64</f>
        <v>1668.58</v>
      </c>
      <c r="G64" s="339">
        <f>НМЦК!K63</f>
        <v>1216395</v>
      </c>
      <c r="H64" s="372"/>
      <c r="I64" s="372"/>
      <c r="J64" s="372"/>
    </row>
    <row r="65" spans="1:10" s="373" customFormat="1" ht="15.75" hidden="1" outlineLevel="2" x14ac:dyDescent="0.2">
      <c r="A65" s="208" t="s">
        <v>818</v>
      </c>
      <c r="B65" s="100" t="s">
        <v>1229</v>
      </c>
      <c r="C65" s="100" t="s">
        <v>340</v>
      </c>
      <c r="D65" s="157" t="s">
        <v>262</v>
      </c>
      <c r="E65" s="277">
        <v>729</v>
      </c>
      <c r="F65" s="423">
        <f t="shared" si="2"/>
        <v>211</v>
      </c>
      <c r="G65" s="339">
        <f>НМЦК!K64</f>
        <v>153816</v>
      </c>
      <c r="H65" s="372"/>
      <c r="I65" s="372"/>
      <c r="J65" s="372"/>
    </row>
    <row r="66" spans="1:10" s="381" customFormat="1" ht="25.5" hidden="1" outlineLevel="2" x14ac:dyDescent="0.2">
      <c r="A66" s="312" t="s">
        <v>822</v>
      </c>
      <c r="B66" s="171" t="s">
        <v>1230</v>
      </c>
      <c r="C66" s="171" t="s">
        <v>1231</v>
      </c>
      <c r="D66" s="316" t="s">
        <v>262</v>
      </c>
      <c r="E66" s="313">
        <f>312.2*729/6243</f>
        <v>36.5</v>
      </c>
      <c r="F66" s="428">
        <f t="shared" si="2"/>
        <v>637.80999999999995</v>
      </c>
      <c r="G66" s="377">
        <f>НМЦК!K65</f>
        <v>23280</v>
      </c>
      <c r="H66" s="380" t="s">
        <v>1232</v>
      </c>
      <c r="I66" s="380"/>
      <c r="J66" s="380"/>
    </row>
    <row r="67" spans="1:10" s="381" customFormat="1" ht="15.75" hidden="1" outlineLevel="2" x14ac:dyDescent="0.2">
      <c r="A67" s="312" t="s">
        <v>826</v>
      </c>
      <c r="B67" s="171" t="s">
        <v>1222</v>
      </c>
      <c r="C67" s="171" t="s">
        <v>1223</v>
      </c>
      <c r="D67" s="316" t="s">
        <v>262</v>
      </c>
      <c r="E67" s="313">
        <f>312.2*729/6243</f>
        <v>36.5</v>
      </c>
      <c r="F67" s="428">
        <f t="shared" si="2"/>
        <v>256</v>
      </c>
      <c r="G67" s="377">
        <f>НМЦК!K66</f>
        <v>9344</v>
      </c>
      <c r="H67" s="380" t="s">
        <v>1232</v>
      </c>
      <c r="I67" s="380"/>
      <c r="J67" s="380"/>
    </row>
    <row r="68" spans="1:10" s="373" customFormat="1" ht="15.75" hidden="1" outlineLevel="2" x14ac:dyDescent="0.2">
      <c r="A68" s="208" t="s">
        <v>1336</v>
      </c>
      <c r="B68" s="100" t="s">
        <v>1221</v>
      </c>
      <c r="C68" s="100" t="s">
        <v>343</v>
      </c>
      <c r="D68" s="157" t="s">
        <v>262</v>
      </c>
      <c r="E68" s="277">
        <v>679</v>
      </c>
      <c r="F68" s="423">
        <f t="shared" si="2"/>
        <v>137.65</v>
      </c>
      <c r="G68" s="339">
        <f>НМЦК!K67</f>
        <v>93463</v>
      </c>
      <c r="H68" s="372" t="s">
        <v>344</v>
      </c>
      <c r="I68" s="372"/>
      <c r="J68" s="372"/>
    </row>
    <row r="69" spans="1:10" s="373" customFormat="1" ht="15.75" hidden="1" outlineLevel="2" x14ac:dyDescent="0.2">
      <c r="A69" s="208" t="s">
        <v>1337</v>
      </c>
      <c r="B69" s="100" t="s">
        <v>754</v>
      </c>
      <c r="C69" s="100" t="s">
        <v>974</v>
      </c>
      <c r="D69" s="157" t="s">
        <v>305</v>
      </c>
      <c r="E69" s="277">
        <v>1</v>
      </c>
      <c r="F69" s="423">
        <f t="shared" si="2"/>
        <v>736493</v>
      </c>
      <c r="G69" s="339">
        <f>НМЦК!K68</f>
        <v>736493</v>
      </c>
      <c r="H69" s="372" t="s">
        <v>350</v>
      </c>
      <c r="I69" s="372"/>
      <c r="J69" s="372"/>
    </row>
    <row r="70" spans="1:10" s="373" customFormat="1" ht="15.75" hidden="1" outlineLevel="2" x14ac:dyDescent="0.2">
      <c r="A70" s="208" t="s">
        <v>1338</v>
      </c>
      <c r="B70" s="100" t="s">
        <v>755</v>
      </c>
      <c r="C70" s="100" t="s">
        <v>975</v>
      </c>
      <c r="D70" s="157" t="s">
        <v>305</v>
      </c>
      <c r="E70" s="277">
        <v>1</v>
      </c>
      <c r="F70" s="423">
        <f t="shared" si="2"/>
        <v>929525</v>
      </c>
      <c r="G70" s="339">
        <f>НМЦК!K69</f>
        <v>929525</v>
      </c>
      <c r="H70" s="372" t="s">
        <v>349</v>
      </c>
      <c r="I70" s="372"/>
      <c r="J70" s="372"/>
    </row>
    <row r="71" spans="1:10" s="362" customFormat="1" ht="25.5" outlineLevel="1" collapsed="1" x14ac:dyDescent="0.2">
      <c r="A71" s="282" t="s">
        <v>281</v>
      </c>
      <c r="B71" s="283"/>
      <c r="C71" s="283" t="s">
        <v>978</v>
      </c>
      <c r="D71" s="359" t="s">
        <v>250</v>
      </c>
      <c r="E71" s="154">
        <v>1</v>
      </c>
      <c r="F71" s="422">
        <f t="shared" si="2"/>
        <v>8417522</v>
      </c>
      <c r="G71" s="337">
        <f>НМЦК!K70</f>
        <v>8417522</v>
      </c>
      <c r="H71" s="360"/>
      <c r="I71" s="360"/>
      <c r="J71" s="360"/>
    </row>
    <row r="72" spans="1:10" s="373" customFormat="1" ht="15.75" hidden="1" outlineLevel="2" x14ac:dyDescent="0.2">
      <c r="A72" s="208"/>
      <c r="B72" s="100"/>
      <c r="C72" s="267" t="s">
        <v>982</v>
      </c>
      <c r="D72" s="157"/>
      <c r="E72" s="277"/>
      <c r="F72" s="423"/>
      <c r="G72" s="339">
        <f>НМЦК!K71</f>
        <v>0</v>
      </c>
      <c r="H72" s="372"/>
      <c r="I72" s="372"/>
      <c r="J72" s="372"/>
    </row>
    <row r="73" spans="1:10" s="373" customFormat="1" ht="25.5" hidden="1" outlineLevel="2" x14ac:dyDescent="0.2">
      <c r="A73" s="208" t="s">
        <v>282</v>
      </c>
      <c r="B73" s="100" t="s">
        <v>341</v>
      </c>
      <c r="C73" s="100" t="s">
        <v>265</v>
      </c>
      <c r="D73" s="157" t="s">
        <v>262</v>
      </c>
      <c r="E73" s="277">
        <v>2432</v>
      </c>
      <c r="F73" s="423">
        <f t="shared" ref="F73:F79" si="3">G73/E73</f>
        <v>1668.58</v>
      </c>
      <c r="G73" s="339">
        <f>НМЦК!K72</f>
        <v>4057985</v>
      </c>
      <c r="H73" s="372"/>
      <c r="I73" s="372"/>
      <c r="J73" s="372"/>
    </row>
    <row r="74" spans="1:10" s="373" customFormat="1" ht="15.75" hidden="1" outlineLevel="2" x14ac:dyDescent="0.2">
      <c r="A74" s="208" t="s">
        <v>284</v>
      </c>
      <c r="B74" s="100" t="s">
        <v>1229</v>
      </c>
      <c r="C74" s="100" t="s">
        <v>340</v>
      </c>
      <c r="D74" s="157" t="s">
        <v>262</v>
      </c>
      <c r="E74" s="277">
        <v>2432</v>
      </c>
      <c r="F74" s="423">
        <f t="shared" si="3"/>
        <v>211</v>
      </c>
      <c r="G74" s="339">
        <f>НМЦК!K73</f>
        <v>513143</v>
      </c>
      <c r="H74" s="372"/>
      <c r="I74" s="372"/>
      <c r="J74" s="372"/>
    </row>
    <row r="75" spans="1:10" s="379" customFormat="1" ht="25.5" hidden="1" outlineLevel="2" x14ac:dyDescent="0.2">
      <c r="A75" s="312" t="s">
        <v>285</v>
      </c>
      <c r="B75" s="171" t="s">
        <v>1230</v>
      </c>
      <c r="C75" s="171" t="s">
        <v>1231</v>
      </c>
      <c r="D75" s="316" t="s">
        <v>262</v>
      </c>
      <c r="E75" s="313">
        <f>312.2*2432/6243-0.1</f>
        <v>121.5</v>
      </c>
      <c r="F75" s="428">
        <f t="shared" si="3"/>
        <v>639.23</v>
      </c>
      <c r="G75" s="377">
        <f>НМЦК!K74</f>
        <v>77666</v>
      </c>
      <c r="H75" s="378" t="s">
        <v>1232</v>
      </c>
      <c r="I75" s="378"/>
      <c r="J75" s="378"/>
    </row>
    <row r="76" spans="1:10" s="379" customFormat="1" ht="15.75" hidden="1" outlineLevel="2" x14ac:dyDescent="0.2">
      <c r="A76" s="312" t="s">
        <v>286</v>
      </c>
      <c r="B76" s="171" t="s">
        <v>1222</v>
      </c>
      <c r="C76" s="171" t="s">
        <v>1223</v>
      </c>
      <c r="D76" s="316" t="s">
        <v>262</v>
      </c>
      <c r="E76" s="313">
        <f>312.2*2432/6243-0.1</f>
        <v>121.5</v>
      </c>
      <c r="F76" s="428">
        <f t="shared" si="3"/>
        <v>256.56</v>
      </c>
      <c r="G76" s="377">
        <f>НМЦК!K75</f>
        <v>31172</v>
      </c>
      <c r="H76" s="378" t="s">
        <v>1232</v>
      </c>
      <c r="I76" s="378"/>
      <c r="J76" s="378"/>
    </row>
    <row r="77" spans="1:10" s="373" customFormat="1" ht="15.75" hidden="1" outlineLevel="2" x14ac:dyDescent="0.2">
      <c r="A77" s="208" t="s">
        <v>287</v>
      </c>
      <c r="B77" s="100" t="s">
        <v>1221</v>
      </c>
      <c r="C77" s="100" t="s">
        <v>343</v>
      </c>
      <c r="D77" s="157" t="s">
        <v>262</v>
      </c>
      <c r="E77" s="277">
        <v>2333</v>
      </c>
      <c r="F77" s="423">
        <f t="shared" si="3"/>
        <v>137.65</v>
      </c>
      <c r="G77" s="339">
        <f>НМЦК!K76</f>
        <v>321137</v>
      </c>
      <c r="H77" s="372" t="s">
        <v>344</v>
      </c>
      <c r="I77" s="372"/>
      <c r="J77" s="372"/>
    </row>
    <row r="78" spans="1:10" s="373" customFormat="1" ht="15.75" hidden="1" outlineLevel="2" x14ac:dyDescent="0.2">
      <c r="A78" s="208" t="s">
        <v>288</v>
      </c>
      <c r="B78" s="100" t="s">
        <v>756</v>
      </c>
      <c r="C78" s="100" t="s">
        <v>981</v>
      </c>
      <c r="D78" s="157" t="s">
        <v>305</v>
      </c>
      <c r="E78" s="277">
        <v>1</v>
      </c>
      <c r="F78" s="423">
        <f t="shared" si="3"/>
        <v>680171</v>
      </c>
      <c r="G78" s="339">
        <f>НМЦК!K77</f>
        <v>680171</v>
      </c>
      <c r="H78" s="372"/>
      <c r="I78" s="372"/>
      <c r="J78" s="372"/>
    </row>
    <row r="79" spans="1:10" s="373" customFormat="1" ht="15.75" hidden="1" outlineLevel="2" x14ac:dyDescent="0.2">
      <c r="A79" s="208" t="s">
        <v>289</v>
      </c>
      <c r="B79" s="100" t="s">
        <v>496</v>
      </c>
      <c r="C79" s="100" t="s">
        <v>983</v>
      </c>
      <c r="D79" s="157" t="s">
        <v>283</v>
      </c>
      <c r="E79" s="277">
        <v>1</v>
      </c>
      <c r="F79" s="423">
        <f t="shared" si="3"/>
        <v>1750674</v>
      </c>
      <c r="G79" s="339">
        <f>НМЦК!K78</f>
        <v>1750674</v>
      </c>
      <c r="H79" s="372" t="s">
        <v>497</v>
      </c>
      <c r="I79" s="372"/>
      <c r="J79" s="372"/>
    </row>
    <row r="80" spans="1:10" s="373" customFormat="1" ht="15.75" hidden="1" outlineLevel="2" x14ac:dyDescent="0.2">
      <c r="A80" s="208"/>
      <c r="B80" s="100"/>
      <c r="C80" s="267" t="s">
        <v>498</v>
      </c>
      <c r="D80" s="317"/>
      <c r="E80" s="277"/>
      <c r="F80" s="423"/>
      <c r="G80" s="339">
        <f>НМЦК!K79</f>
        <v>0</v>
      </c>
      <c r="H80" s="372"/>
      <c r="I80" s="372"/>
      <c r="J80" s="372"/>
    </row>
    <row r="81" spans="1:10" s="373" customFormat="1" ht="25.5" hidden="1" outlineLevel="2" x14ac:dyDescent="0.2">
      <c r="A81" s="208" t="s">
        <v>290</v>
      </c>
      <c r="B81" s="100" t="s">
        <v>499</v>
      </c>
      <c r="C81" s="100" t="s">
        <v>265</v>
      </c>
      <c r="D81" s="317" t="s">
        <v>262</v>
      </c>
      <c r="E81" s="382">
        <f>139.5</f>
        <v>139.5</v>
      </c>
      <c r="F81" s="423">
        <f t="shared" ref="F81:F87" si="4">G81/E81</f>
        <v>1668.92</v>
      </c>
      <c r="G81" s="339">
        <f>НМЦК!K80</f>
        <v>232814</v>
      </c>
      <c r="H81" s="372"/>
      <c r="I81" s="372"/>
      <c r="J81" s="372"/>
    </row>
    <row r="82" spans="1:10" s="373" customFormat="1" ht="15.75" hidden="1" outlineLevel="2" x14ac:dyDescent="0.2">
      <c r="A82" s="208" t="s">
        <v>291</v>
      </c>
      <c r="B82" s="100" t="s">
        <v>502</v>
      </c>
      <c r="C82" s="100" t="s">
        <v>500</v>
      </c>
      <c r="D82" s="317" t="s">
        <v>262</v>
      </c>
      <c r="E82" s="382">
        <f>84.5</f>
        <v>84.5</v>
      </c>
      <c r="F82" s="423">
        <f t="shared" si="4"/>
        <v>110.21</v>
      </c>
      <c r="G82" s="339">
        <f>НМЦК!K81</f>
        <v>9313</v>
      </c>
      <c r="H82" s="372"/>
      <c r="I82" s="372"/>
      <c r="J82" s="372"/>
    </row>
    <row r="83" spans="1:10" s="373" customFormat="1" ht="25.5" hidden="1" outlineLevel="2" x14ac:dyDescent="0.2">
      <c r="A83" s="208" t="s">
        <v>1039</v>
      </c>
      <c r="B83" s="100" t="s">
        <v>503</v>
      </c>
      <c r="C83" s="100" t="s">
        <v>501</v>
      </c>
      <c r="D83" s="317" t="s">
        <v>262</v>
      </c>
      <c r="E83" s="277">
        <v>55</v>
      </c>
      <c r="F83" s="423">
        <f t="shared" si="4"/>
        <v>228.05</v>
      </c>
      <c r="G83" s="339">
        <f>НМЦК!K82</f>
        <v>12543</v>
      </c>
      <c r="H83" s="372"/>
      <c r="I83" s="372"/>
      <c r="J83" s="372"/>
    </row>
    <row r="84" spans="1:10" s="373" customFormat="1" ht="15.75" hidden="1" outlineLevel="2" x14ac:dyDescent="0.2">
      <c r="A84" s="208" t="s">
        <v>1040</v>
      </c>
      <c r="B84" s="100" t="s">
        <v>504</v>
      </c>
      <c r="C84" s="100" t="s">
        <v>343</v>
      </c>
      <c r="D84" s="317" t="s">
        <v>262</v>
      </c>
      <c r="E84" s="382">
        <f>84.5</f>
        <v>84.5</v>
      </c>
      <c r="F84" s="423">
        <f t="shared" si="4"/>
        <v>125.86</v>
      </c>
      <c r="G84" s="339">
        <f>НМЦК!K83</f>
        <v>10635</v>
      </c>
      <c r="H84" s="372"/>
      <c r="I84" s="372"/>
      <c r="J84" s="372"/>
    </row>
    <row r="85" spans="1:10" s="373" customFormat="1" ht="15.75" hidden="1" outlineLevel="2" x14ac:dyDescent="0.2">
      <c r="A85" s="208" t="s">
        <v>1339</v>
      </c>
      <c r="B85" s="100" t="s">
        <v>507</v>
      </c>
      <c r="C85" s="100" t="s">
        <v>980</v>
      </c>
      <c r="D85" s="317" t="s">
        <v>283</v>
      </c>
      <c r="E85" s="277">
        <v>1</v>
      </c>
      <c r="F85" s="423">
        <f t="shared" si="4"/>
        <v>685635</v>
      </c>
      <c r="G85" s="339">
        <f>НМЦК!K84</f>
        <v>685635</v>
      </c>
      <c r="H85" s="372" t="s">
        <v>506</v>
      </c>
      <c r="I85" s="372"/>
      <c r="J85" s="372"/>
    </row>
    <row r="86" spans="1:10" s="373" customFormat="1" ht="15.75" hidden="1" outlineLevel="2" x14ac:dyDescent="0.2">
      <c r="A86" s="208" t="s">
        <v>1340</v>
      </c>
      <c r="B86" s="100" t="s">
        <v>509</v>
      </c>
      <c r="C86" s="100" t="s">
        <v>979</v>
      </c>
      <c r="D86" s="317" t="s">
        <v>271</v>
      </c>
      <c r="E86" s="382">
        <f>39.1</f>
        <v>39.1</v>
      </c>
      <c r="F86" s="423">
        <f t="shared" si="4"/>
        <v>885.78</v>
      </c>
      <c r="G86" s="339">
        <f>НМЦК!K85</f>
        <v>34634</v>
      </c>
      <c r="H86" s="372"/>
      <c r="I86" s="372"/>
      <c r="J86" s="372"/>
    </row>
    <row r="87" spans="1:10" s="362" customFormat="1" ht="15.75" outlineLevel="1" collapsed="1" x14ac:dyDescent="0.2">
      <c r="A87" s="282" t="s">
        <v>292</v>
      </c>
      <c r="B87" s="283"/>
      <c r="C87" s="283" t="s">
        <v>1013</v>
      </c>
      <c r="D87" s="359" t="s">
        <v>250</v>
      </c>
      <c r="E87" s="154">
        <v>1</v>
      </c>
      <c r="F87" s="422">
        <f t="shared" si="4"/>
        <v>18462037</v>
      </c>
      <c r="G87" s="337">
        <f>НМЦК!K86</f>
        <v>18462037</v>
      </c>
      <c r="H87" s="360"/>
      <c r="I87" s="360"/>
      <c r="J87" s="360"/>
    </row>
    <row r="88" spans="1:10" s="373" customFormat="1" ht="15.75" hidden="1" outlineLevel="2" x14ac:dyDescent="0.2">
      <c r="A88" s="208"/>
      <c r="B88" s="100"/>
      <c r="C88" s="267" t="s">
        <v>316</v>
      </c>
      <c r="D88" s="157"/>
      <c r="E88" s="277"/>
      <c r="F88" s="423"/>
      <c r="G88" s="339">
        <f>НМЦК!K87</f>
        <v>0</v>
      </c>
      <c r="H88" s="372"/>
      <c r="I88" s="372"/>
      <c r="J88" s="372"/>
    </row>
    <row r="89" spans="1:10" s="373" customFormat="1" ht="15.75" hidden="1" outlineLevel="2" x14ac:dyDescent="0.2">
      <c r="A89" s="208" t="s">
        <v>897</v>
      </c>
      <c r="B89" s="100" t="s">
        <v>318</v>
      </c>
      <c r="C89" s="100" t="s">
        <v>317</v>
      </c>
      <c r="D89" s="157" t="s">
        <v>305</v>
      </c>
      <c r="E89" s="277">
        <v>1</v>
      </c>
      <c r="F89" s="423">
        <f>G89/E89</f>
        <v>768030</v>
      </c>
      <c r="G89" s="339">
        <f>НМЦК!K88</f>
        <v>768030</v>
      </c>
      <c r="H89" s="372"/>
      <c r="I89" s="277">
        <v>11414</v>
      </c>
      <c r="J89" s="374">
        <f>E89*I89</f>
        <v>11414</v>
      </c>
    </row>
    <row r="90" spans="1:10" s="373" customFormat="1" ht="47.25" hidden="1" customHeight="1" outlineLevel="2" x14ac:dyDescent="0.2">
      <c r="A90" s="208" t="s">
        <v>905</v>
      </c>
      <c r="B90" s="100" t="s">
        <v>321</v>
      </c>
      <c r="C90" s="100" t="s">
        <v>322</v>
      </c>
      <c r="D90" s="157" t="s">
        <v>305</v>
      </c>
      <c r="E90" s="277">
        <v>1</v>
      </c>
      <c r="F90" s="423">
        <f>G90/E90</f>
        <v>61418</v>
      </c>
      <c r="G90" s="339">
        <f>НМЦК!K89</f>
        <v>61418</v>
      </c>
      <c r="H90" s="375" t="s">
        <v>1329</v>
      </c>
      <c r="I90" s="372">
        <v>7845</v>
      </c>
      <c r="J90" s="372">
        <f>E90*I90</f>
        <v>7845</v>
      </c>
    </row>
    <row r="91" spans="1:10" s="373" customFormat="1" ht="15.75" hidden="1" outlineLevel="2" x14ac:dyDescent="0.2">
      <c r="A91" s="208"/>
      <c r="B91" s="100"/>
      <c r="C91" s="267" t="s">
        <v>1007</v>
      </c>
      <c r="D91" s="157"/>
      <c r="E91" s="277"/>
      <c r="F91" s="423"/>
      <c r="G91" s="339">
        <f>НМЦК!K90</f>
        <v>0</v>
      </c>
      <c r="H91" s="372"/>
      <c r="I91" s="372"/>
      <c r="J91" s="372"/>
    </row>
    <row r="92" spans="1:10" s="373" customFormat="1" ht="15.75" hidden="1" outlineLevel="2" x14ac:dyDescent="0.2">
      <c r="A92" s="208" t="s">
        <v>1041</v>
      </c>
      <c r="B92" s="100" t="s">
        <v>480</v>
      </c>
      <c r="C92" s="100" t="s">
        <v>1014</v>
      </c>
      <c r="D92" s="157" t="s">
        <v>250</v>
      </c>
      <c r="E92" s="277">
        <v>1</v>
      </c>
      <c r="F92" s="423">
        <f>G92/E92</f>
        <v>70407</v>
      </c>
      <c r="G92" s="339">
        <f>НМЦК!K91</f>
        <v>70407</v>
      </c>
      <c r="H92" s="372"/>
      <c r="I92" s="372"/>
      <c r="J92" s="372"/>
    </row>
    <row r="93" spans="1:10" s="373" customFormat="1" ht="15.75" hidden="1" outlineLevel="2" x14ac:dyDescent="0.2">
      <c r="A93" s="208" t="s">
        <v>1042</v>
      </c>
      <c r="B93" s="100" t="s">
        <v>482</v>
      </c>
      <c r="C93" s="100" t="s">
        <v>1015</v>
      </c>
      <c r="D93" s="157" t="s">
        <v>250</v>
      </c>
      <c r="E93" s="277">
        <v>1</v>
      </c>
      <c r="F93" s="423">
        <f>G93/E93</f>
        <v>13222</v>
      </c>
      <c r="G93" s="339">
        <f>НМЦК!K92</f>
        <v>13222</v>
      </c>
      <c r="H93" s="372"/>
      <c r="I93" s="372"/>
      <c r="J93" s="372"/>
    </row>
    <row r="94" spans="1:10" s="373" customFormat="1" ht="15.75" hidden="1" outlineLevel="2" x14ac:dyDescent="0.2">
      <c r="A94" s="208" t="s">
        <v>1043</v>
      </c>
      <c r="B94" s="100" t="s">
        <v>484</v>
      </c>
      <c r="C94" s="100" t="s">
        <v>1016</v>
      </c>
      <c r="D94" s="157" t="s">
        <v>250</v>
      </c>
      <c r="E94" s="277">
        <v>1</v>
      </c>
      <c r="F94" s="423">
        <f>G94/E94</f>
        <v>426951</v>
      </c>
      <c r="G94" s="339">
        <f>НМЦК!K93</f>
        <v>426951</v>
      </c>
      <c r="H94" s="372"/>
      <c r="I94" s="372"/>
      <c r="J94" s="372"/>
    </row>
    <row r="95" spans="1:10" s="373" customFormat="1" ht="15.75" hidden="1" outlineLevel="2" x14ac:dyDescent="0.2">
      <c r="A95" s="208"/>
      <c r="B95" s="100"/>
      <c r="C95" s="267" t="s">
        <v>1008</v>
      </c>
      <c r="D95" s="157"/>
      <c r="E95" s="277"/>
      <c r="F95" s="423"/>
      <c r="G95" s="339">
        <f>НМЦК!K94</f>
        <v>0</v>
      </c>
      <c r="H95" s="372"/>
      <c r="I95" s="372"/>
      <c r="J95" s="372"/>
    </row>
    <row r="96" spans="1:10" s="373" customFormat="1" ht="25.5" hidden="1" outlineLevel="2" x14ac:dyDescent="0.2">
      <c r="A96" s="208" t="s">
        <v>1044</v>
      </c>
      <c r="B96" s="100" t="s">
        <v>486</v>
      </c>
      <c r="C96" s="100" t="s">
        <v>1017</v>
      </c>
      <c r="D96" s="157" t="s">
        <v>250</v>
      </c>
      <c r="E96" s="277">
        <v>1</v>
      </c>
      <c r="F96" s="423">
        <f>G96/E96</f>
        <v>1331365</v>
      </c>
      <c r="G96" s="339">
        <f>НМЦК!K95</f>
        <v>1331365</v>
      </c>
      <c r="H96" s="372"/>
      <c r="I96" s="372"/>
      <c r="J96" s="372"/>
    </row>
    <row r="97" spans="1:10" s="373" customFormat="1" ht="15.75" hidden="1" outlineLevel="2" x14ac:dyDescent="0.2">
      <c r="A97" s="208" t="s">
        <v>1045</v>
      </c>
      <c r="B97" s="100" t="s">
        <v>488</v>
      </c>
      <c r="C97" s="100" t="s">
        <v>1018</v>
      </c>
      <c r="D97" s="157" t="s">
        <v>250</v>
      </c>
      <c r="E97" s="277">
        <v>1</v>
      </c>
      <c r="F97" s="423">
        <f>G97/E97</f>
        <v>338425</v>
      </c>
      <c r="G97" s="339">
        <f>НМЦК!K96</f>
        <v>338425</v>
      </c>
      <c r="H97" s="372"/>
      <c r="I97" s="372"/>
      <c r="J97" s="372"/>
    </row>
    <row r="98" spans="1:10" s="373" customFormat="1" ht="15.75" hidden="1" outlineLevel="2" x14ac:dyDescent="0.2">
      <c r="A98" s="208" t="s">
        <v>1046</v>
      </c>
      <c r="B98" s="100" t="s">
        <v>490</v>
      </c>
      <c r="C98" s="100" t="s">
        <v>1019</v>
      </c>
      <c r="D98" s="157" t="s">
        <v>250</v>
      </c>
      <c r="E98" s="277">
        <v>1</v>
      </c>
      <c r="F98" s="423">
        <f>G98/E98</f>
        <v>6827241</v>
      </c>
      <c r="G98" s="339">
        <f>НМЦК!K97</f>
        <v>6827241</v>
      </c>
      <c r="H98" s="372"/>
      <c r="I98" s="372"/>
      <c r="J98" s="372"/>
    </row>
    <row r="99" spans="1:10" s="373" customFormat="1" ht="15.75" hidden="1" outlineLevel="2" x14ac:dyDescent="0.2">
      <c r="A99" s="208"/>
      <c r="B99" s="100"/>
      <c r="C99" s="267" t="s">
        <v>1009</v>
      </c>
      <c r="D99" s="157"/>
      <c r="E99" s="277"/>
      <c r="F99" s="423"/>
      <c r="G99" s="339">
        <f>НМЦК!K98</f>
        <v>0</v>
      </c>
      <c r="H99" s="372"/>
      <c r="I99" s="372"/>
      <c r="J99" s="372"/>
    </row>
    <row r="100" spans="1:10" s="373" customFormat="1" ht="15.75" hidden="1" outlineLevel="2" x14ac:dyDescent="0.2">
      <c r="A100" s="208" t="s">
        <v>1047</v>
      </c>
      <c r="B100" s="100" t="s">
        <v>492</v>
      </c>
      <c r="C100" s="100" t="s">
        <v>1010</v>
      </c>
      <c r="D100" s="157" t="s">
        <v>250</v>
      </c>
      <c r="E100" s="277">
        <v>1</v>
      </c>
      <c r="F100" s="423">
        <f>G100/E100</f>
        <v>1500614</v>
      </c>
      <c r="G100" s="339">
        <f>НМЦК!K99</f>
        <v>1500614</v>
      </c>
      <c r="H100" s="372"/>
      <c r="I100" s="372"/>
      <c r="J100" s="372"/>
    </row>
    <row r="101" spans="1:10" s="373" customFormat="1" ht="15.75" hidden="1" outlineLevel="2" x14ac:dyDescent="0.2">
      <c r="A101" s="208" t="s">
        <v>1048</v>
      </c>
      <c r="B101" s="100" t="s">
        <v>494</v>
      </c>
      <c r="C101" s="100" t="s">
        <v>1011</v>
      </c>
      <c r="D101" s="157" t="s">
        <v>250</v>
      </c>
      <c r="E101" s="277">
        <v>1</v>
      </c>
      <c r="F101" s="423">
        <f>G101/E101</f>
        <v>6524</v>
      </c>
      <c r="G101" s="339">
        <f>НМЦК!K100</f>
        <v>6524</v>
      </c>
      <c r="H101" s="372"/>
      <c r="I101" s="372"/>
      <c r="J101" s="372"/>
    </row>
    <row r="102" spans="1:10" s="373" customFormat="1" ht="25.5" hidden="1" outlineLevel="2" x14ac:dyDescent="0.2">
      <c r="A102" s="208"/>
      <c r="B102" s="100"/>
      <c r="C102" s="267" t="s">
        <v>1021</v>
      </c>
      <c r="D102" s="157"/>
      <c r="E102" s="277"/>
      <c r="F102" s="423"/>
      <c r="G102" s="339">
        <f>НМЦК!K101</f>
        <v>0</v>
      </c>
      <c r="H102" s="372"/>
      <c r="I102" s="372"/>
      <c r="J102" s="372"/>
    </row>
    <row r="103" spans="1:10" s="373" customFormat="1" ht="15.75" hidden="1" outlineLevel="2" x14ac:dyDescent="0.2">
      <c r="A103" s="208" t="s">
        <v>1049</v>
      </c>
      <c r="B103" s="100" t="s">
        <v>665</v>
      </c>
      <c r="C103" s="100" t="s">
        <v>664</v>
      </c>
      <c r="D103" s="157" t="s">
        <v>271</v>
      </c>
      <c r="E103" s="277">
        <v>1202</v>
      </c>
      <c r="F103" s="423">
        <f>G103/E103</f>
        <v>29.47</v>
      </c>
      <c r="G103" s="339">
        <f>НМЦК!K102</f>
        <v>35420</v>
      </c>
      <c r="H103" s="372"/>
      <c r="I103" s="372"/>
      <c r="J103" s="372"/>
    </row>
    <row r="104" spans="1:10" s="373" customFormat="1" ht="25.5" hidden="1" outlineLevel="2" x14ac:dyDescent="0.2">
      <c r="A104" s="208" t="s">
        <v>1050</v>
      </c>
      <c r="B104" s="100" t="s">
        <v>662</v>
      </c>
      <c r="C104" s="100" t="s">
        <v>661</v>
      </c>
      <c r="D104" s="157" t="s">
        <v>262</v>
      </c>
      <c r="E104" s="277">
        <f>2473</f>
        <v>2473</v>
      </c>
      <c r="F104" s="423">
        <f>G104/E104</f>
        <v>1668.55</v>
      </c>
      <c r="G104" s="339">
        <f>НМЦК!K103</f>
        <v>4126319</v>
      </c>
      <c r="H104" s="372"/>
      <c r="I104" s="372"/>
      <c r="J104" s="372"/>
    </row>
    <row r="105" spans="1:10" s="373" customFormat="1" ht="51" hidden="1" outlineLevel="2" x14ac:dyDescent="0.2">
      <c r="A105" s="208" t="s">
        <v>1051</v>
      </c>
      <c r="B105" s="100" t="s">
        <v>663</v>
      </c>
      <c r="C105" s="100" t="s">
        <v>666</v>
      </c>
      <c r="D105" s="157" t="s">
        <v>262</v>
      </c>
      <c r="E105" s="277">
        <v>2473</v>
      </c>
      <c r="F105" s="423">
        <f>G105/E105</f>
        <v>228.13</v>
      </c>
      <c r="G105" s="339">
        <f>НМЦК!K104</f>
        <v>564163</v>
      </c>
      <c r="H105" s="375" t="s">
        <v>1330</v>
      </c>
      <c r="I105" s="372"/>
      <c r="J105" s="372"/>
    </row>
    <row r="106" spans="1:10" s="373" customFormat="1" ht="25.5" hidden="1" outlineLevel="2" x14ac:dyDescent="0.2">
      <c r="A106" s="208" t="s">
        <v>1052</v>
      </c>
      <c r="B106" s="100" t="s">
        <v>667</v>
      </c>
      <c r="C106" s="100" t="s">
        <v>668</v>
      </c>
      <c r="D106" s="157" t="s">
        <v>271</v>
      </c>
      <c r="E106" s="277">
        <v>300</v>
      </c>
      <c r="F106" s="423">
        <f>G106/E106</f>
        <v>220.27</v>
      </c>
      <c r="G106" s="339">
        <f>НМЦК!K105</f>
        <v>66080</v>
      </c>
      <c r="H106" s="372"/>
      <c r="I106" s="372"/>
      <c r="J106" s="372"/>
    </row>
    <row r="107" spans="1:10" s="373" customFormat="1" ht="15.75" hidden="1" outlineLevel="2" x14ac:dyDescent="0.2">
      <c r="A107" s="208"/>
      <c r="B107" s="100"/>
      <c r="C107" s="267" t="s">
        <v>323</v>
      </c>
      <c r="D107" s="157"/>
      <c r="E107" s="277"/>
      <c r="F107" s="423"/>
      <c r="G107" s="339">
        <f>НМЦК!K106</f>
        <v>0</v>
      </c>
      <c r="H107" s="372"/>
      <c r="I107" s="372"/>
      <c r="J107" s="372"/>
    </row>
    <row r="108" spans="1:10" s="373" customFormat="1" ht="15.75" hidden="1" outlineLevel="2" x14ac:dyDescent="0.2">
      <c r="A108" s="208" t="s">
        <v>1053</v>
      </c>
      <c r="B108" s="100" t="s">
        <v>327</v>
      </c>
      <c r="C108" s="100" t="s">
        <v>737</v>
      </c>
      <c r="D108" s="157" t="s">
        <v>305</v>
      </c>
      <c r="E108" s="277">
        <v>1</v>
      </c>
      <c r="F108" s="423">
        <f t="shared" ref="F108:F117" si="5">G108/E108</f>
        <v>40323</v>
      </c>
      <c r="G108" s="339">
        <f>НМЦК!K107</f>
        <v>40323</v>
      </c>
      <c r="H108" s="372"/>
      <c r="I108" s="372">
        <v>1104</v>
      </c>
      <c r="J108" s="372">
        <f t="shared" ref="J108:J115" si="6">E108*I108</f>
        <v>1104</v>
      </c>
    </row>
    <row r="109" spans="1:10" s="373" customFormat="1" ht="15.75" hidden="1" outlineLevel="2" x14ac:dyDescent="0.2">
      <c r="A109" s="208" t="s">
        <v>1054</v>
      </c>
      <c r="B109" s="100" t="s">
        <v>327</v>
      </c>
      <c r="C109" s="100" t="s">
        <v>738</v>
      </c>
      <c r="D109" s="157" t="s">
        <v>305</v>
      </c>
      <c r="E109" s="277">
        <v>1</v>
      </c>
      <c r="F109" s="423">
        <f t="shared" si="5"/>
        <v>73012</v>
      </c>
      <c r="G109" s="339">
        <f>НМЦК!K108</f>
        <v>73012</v>
      </c>
      <c r="H109" s="372"/>
      <c r="I109" s="372">
        <v>1999</v>
      </c>
      <c r="J109" s="372">
        <f t="shared" si="6"/>
        <v>1999</v>
      </c>
    </row>
    <row r="110" spans="1:10" s="373" customFormat="1" ht="15.75" hidden="1" outlineLevel="2" x14ac:dyDescent="0.2">
      <c r="A110" s="208" t="s">
        <v>1055</v>
      </c>
      <c r="B110" s="100" t="s">
        <v>327</v>
      </c>
      <c r="C110" s="100" t="s">
        <v>739</v>
      </c>
      <c r="D110" s="157" t="s">
        <v>305</v>
      </c>
      <c r="E110" s="277">
        <v>1</v>
      </c>
      <c r="F110" s="423">
        <f t="shared" si="5"/>
        <v>98725</v>
      </c>
      <c r="G110" s="339">
        <f>НМЦК!K109</f>
        <v>98725</v>
      </c>
      <c r="H110" s="372"/>
      <c r="I110" s="372">
        <v>2703</v>
      </c>
      <c r="J110" s="372">
        <f t="shared" si="6"/>
        <v>2703</v>
      </c>
    </row>
    <row r="111" spans="1:10" s="373" customFormat="1" ht="15.75" hidden="1" outlineLevel="2" x14ac:dyDescent="0.2">
      <c r="A111" s="208" t="s">
        <v>1056</v>
      </c>
      <c r="B111" s="100" t="s">
        <v>327</v>
      </c>
      <c r="C111" s="100" t="s">
        <v>740</v>
      </c>
      <c r="D111" s="157" t="s">
        <v>305</v>
      </c>
      <c r="E111" s="277">
        <v>1</v>
      </c>
      <c r="F111" s="423">
        <f t="shared" si="5"/>
        <v>89191</v>
      </c>
      <c r="G111" s="339">
        <f>НМЦК!K110</f>
        <v>89191</v>
      </c>
      <c r="H111" s="372"/>
      <c r="I111" s="372">
        <v>2442</v>
      </c>
      <c r="J111" s="372">
        <f t="shared" si="6"/>
        <v>2442</v>
      </c>
    </row>
    <row r="112" spans="1:10" s="373" customFormat="1" ht="25.5" hidden="1" outlineLevel="2" x14ac:dyDescent="0.2">
      <c r="A112" s="208" t="s">
        <v>1057</v>
      </c>
      <c r="B112" s="100" t="s">
        <v>325</v>
      </c>
      <c r="C112" s="100" t="s">
        <v>328</v>
      </c>
      <c r="D112" s="157" t="s">
        <v>305</v>
      </c>
      <c r="E112" s="277">
        <v>8</v>
      </c>
      <c r="F112" s="423">
        <f t="shared" si="5"/>
        <v>41488</v>
      </c>
      <c r="G112" s="339">
        <f>НМЦК!K111</f>
        <v>331904</v>
      </c>
      <c r="H112" s="375" t="s">
        <v>741</v>
      </c>
      <c r="I112" s="372">
        <v>1000</v>
      </c>
      <c r="J112" s="372">
        <f t="shared" si="6"/>
        <v>8000</v>
      </c>
    </row>
    <row r="113" spans="1:10" s="373" customFormat="1" ht="15.75" hidden="1" outlineLevel="2" x14ac:dyDescent="0.2">
      <c r="A113" s="208" t="s">
        <v>1058</v>
      </c>
      <c r="B113" s="100" t="s">
        <v>325</v>
      </c>
      <c r="C113" s="100" t="s">
        <v>329</v>
      </c>
      <c r="D113" s="157" t="s">
        <v>305</v>
      </c>
      <c r="E113" s="277">
        <v>8</v>
      </c>
      <c r="F113" s="423">
        <f t="shared" si="5"/>
        <v>53934.25</v>
      </c>
      <c r="G113" s="339">
        <f>НМЦК!K112</f>
        <v>431474</v>
      </c>
      <c r="H113" s="372"/>
      <c r="I113" s="372">
        <v>1300</v>
      </c>
      <c r="J113" s="372">
        <f t="shared" si="6"/>
        <v>10400</v>
      </c>
    </row>
    <row r="114" spans="1:10" s="373" customFormat="1" ht="15.75" hidden="1" outlineLevel="2" x14ac:dyDescent="0.2">
      <c r="A114" s="208" t="s">
        <v>1059</v>
      </c>
      <c r="B114" s="100" t="s">
        <v>325</v>
      </c>
      <c r="C114" s="100" t="s">
        <v>330</v>
      </c>
      <c r="D114" s="157" t="s">
        <v>305</v>
      </c>
      <c r="E114" s="277">
        <v>4</v>
      </c>
      <c r="F114" s="423">
        <f t="shared" si="5"/>
        <v>215736.75</v>
      </c>
      <c r="G114" s="339">
        <f>НМЦК!K113</f>
        <v>862947</v>
      </c>
      <c r="H114" s="372"/>
      <c r="I114" s="372">
        <v>5200</v>
      </c>
      <c r="J114" s="372">
        <f t="shared" si="6"/>
        <v>20800</v>
      </c>
    </row>
    <row r="115" spans="1:10" s="373" customFormat="1" ht="15.75" hidden="1" outlineLevel="2" x14ac:dyDescent="0.2">
      <c r="A115" s="208" t="s">
        <v>1060</v>
      </c>
      <c r="B115" s="100" t="s">
        <v>325</v>
      </c>
      <c r="C115" s="100" t="s">
        <v>331</v>
      </c>
      <c r="D115" s="157" t="s">
        <v>305</v>
      </c>
      <c r="E115" s="277">
        <v>4</v>
      </c>
      <c r="F115" s="423">
        <f t="shared" si="5"/>
        <v>99570.5</v>
      </c>
      <c r="G115" s="339">
        <f>НМЦК!K114</f>
        <v>398282</v>
      </c>
      <c r="H115" s="372"/>
      <c r="I115" s="372">
        <v>2400</v>
      </c>
      <c r="J115" s="372">
        <f t="shared" si="6"/>
        <v>9600</v>
      </c>
    </row>
    <row r="116" spans="1:10" s="362" customFormat="1" ht="15.75" outlineLevel="1" collapsed="1" x14ac:dyDescent="0.2">
      <c r="A116" s="282" t="s">
        <v>293</v>
      </c>
      <c r="B116" s="283"/>
      <c r="C116" s="283" t="s">
        <v>1012</v>
      </c>
      <c r="D116" s="359" t="s">
        <v>250</v>
      </c>
      <c r="E116" s="154">
        <v>1</v>
      </c>
      <c r="F116" s="422">
        <f t="shared" si="5"/>
        <v>3838184</v>
      </c>
      <c r="G116" s="337">
        <f>НМЦК!K115</f>
        <v>3838184</v>
      </c>
      <c r="H116" s="360"/>
      <c r="I116" s="360"/>
      <c r="J116" s="360"/>
    </row>
    <row r="117" spans="1:10" s="373" customFormat="1" ht="15.75" hidden="1" outlineLevel="2" x14ac:dyDescent="0.2">
      <c r="A117" s="208" t="s">
        <v>908</v>
      </c>
      <c r="B117" s="100" t="s">
        <v>310</v>
      </c>
      <c r="C117" s="100" t="s">
        <v>309</v>
      </c>
      <c r="D117" s="157" t="s">
        <v>305</v>
      </c>
      <c r="E117" s="277">
        <v>1</v>
      </c>
      <c r="F117" s="423">
        <f t="shared" si="5"/>
        <v>1009721</v>
      </c>
      <c r="G117" s="339">
        <f>НМЦК!K116</f>
        <v>1009721</v>
      </c>
      <c r="H117" s="372"/>
      <c r="I117" s="277">
        <f>15000</f>
        <v>15000</v>
      </c>
      <c r="J117" s="372">
        <f>E117*I117</f>
        <v>15000</v>
      </c>
    </row>
    <row r="118" spans="1:10" s="373" customFormat="1" ht="51" hidden="1" outlineLevel="2" x14ac:dyDescent="0.2">
      <c r="A118" s="208"/>
      <c r="B118" s="100"/>
      <c r="C118" s="100" t="s">
        <v>720</v>
      </c>
      <c r="D118" s="157"/>
      <c r="E118" s="277"/>
      <c r="F118" s="423"/>
      <c r="G118" s="339">
        <f>НМЦК!K117</f>
        <v>0</v>
      </c>
      <c r="H118" s="375" t="s">
        <v>721</v>
      </c>
      <c r="I118" s="277">
        <f>9671</f>
        <v>9671</v>
      </c>
      <c r="J118" s="372"/>
    </row>
    <row r="119" spans="1:10" s="373" customFormat="1" ht="25.5" hidden="1" customHeight="1" outlineLevel="2" x14ac:dyDescent="0.2">
      <c r="A119" s="208" t="s">
        <v>909</v>
      </c>
      <c r="B119" s="100" t="s">
        <v>311</v>
      </c>
      <c r="C119" s="100" t="s">
        <v>716</v>
      </c>
      <c r="D119" s="157" t="s">
        <v>305</v>
      </c>
      <c r="E119" s="277">
        <v>1</v>
      </c>
      <c r="F119" s="423">
        <f>G119/E119</f>
        <v>23555</v>
      </c>
      <c r="G119" s="339">
        <f>НМЦК!K118</f>
        <v>23555</v>
      </c>
      <c r="H119" s="624" t="s">
        <v>1326</v>
      </c>
      <c r="I119" s="277">
        <f>550</f>
        <v>550</v>
      </c>
      <c r="J119" s="372">
        <f>E119*I119</f>
        <v>550</v>
      </c>
    </row>
    <row r="120" spans="1:10" s="373" customFormat="1" ht="24" hidden="1" customHeight="1" outlineLevel="2" x14ac:dyDescent="0.2">
      <c r="A120" s="208" t="s">
        <v>910</v>
      </c>
      <c r="B120" s="100" t="s">
        <v>311</v>
      </c>
      <c r="C120" s="100" t="s">
        <v>717</v>
      </c>
      <c r="D120" s="157" t="s">
        <v>305</v>
      </c>
      <c r="E120" s="277">
        <v>1</v>
      </c>
      <c r="F120" s="423">
        <f>G120/E120</f>
        <v>24240</v>
      </c>
      <c r="G120" s="339">
        <f>НМЦК!K119</f>
        <v>24240</v>
      </c>
      <c r="H120" s="625"/>
      <c r="I120" s="277">
        <f>566</f>
        <v>566</v>
      </c>
      <c r="J120" s="372">
        <f>E120*I120</f>
        <v>566</v>
      </c>
    </row>
    <row r="121" spans="1:10" s="373" customFormat="1" ht="63.75" hidden="1" outlineLevel="2" x14ac:dyDescent="0.2">
      <c r="A121" s="208" t="s">
        <v>911</v>
      </c>
      <c r="B121" s="100" t="s">
        <v>311</v>
      </c>
      <c r="C121" s="100" t="s">
        <v>719</v>
      </c>
      <c r="D121" s="157" t="s">
        <v>305</v>
      </c>
      <c r="E121" s="277">
        <v>1</v>
      </c>
      <c r="F121" s="423">
        <f>G121/E121</f>
        <v>335972</v>
      </c>
      <c r="G121" s="339">
        <f>НМЦК!K120</f>
        <v>335972</v>
      </c>
      <c r="H121" s="375" t="s">
        <v>1327</v>
      </c>
      <c r="I121" s="277">
        <f>7845</f>
        <v>7845</v>
      </c>
      <c r="J121" s="372">
        <f>E121*I121</f>
        <v>7845</v>
      </c>
    </row>
    <row r="122" spans="1:10" s="373" customFormat="1" ht="63.75" hidden="1" outlineLevel="2" x14ac:dyDescent="0.2">
      <c r="A122" s="208" t="s">
        <v>912</v>
      </c>
      <c r="B122" s="100" t="s">
        <v>311</v>
      </c>
      <c r="C122" s="100" t="s">
        <v>718</v>
      </c>
      <c r="D122" s="157" t="s">
        <v>305</v>
      </c>
      <c r="E122" s="277">
        <v>1</v>
      </c>
      <c r="F122" s="423">
        <f>G122/E122</f>
        <v>30406</v>
      </c>
      <c r="G122" s="339">
        <f>НМЦК!K121</f>
        <v>30406</v>
      </c>
      <c r="H122" s="375" t="s">
        <v>1328</v>
      </c>
      <c r="I122" s="277">
        <f>710</f>
        <v>710</v>
      </c>
      <c r="J122" s="372">
        <f>E122*I122</f>
        <v>710</v>
      </c>
    </row>
    <row r="123" spans="1:10" s="373" customFormat="1" ht="15.75" hidden="1" outlineLevel="2" x14ac:dyDescent="0.2">
      <c r="A123" s="208"/>
      <c r="B123" s="100"/>
      <c r="C123" s="100" t="s">
        <v>731</v>
      </c>
      <c r="D123" s="157"/>
      <c r="E123" s="277"/>
      <c r="F123" s="423"/>
      <c r="G123" s="339">
        <f>НМЦК!K122</f>
        <v>0</v>
      </c>
      <c r="H123" s="372"/>
      <c r="I123" s="277">
        <f>3732</f>
        <v>3732</v>
      </c>
      <c r="J123" s="372"/>
    </row>
    <row r="124" spans="1:10" s="373" customFormat="1" ht="15.75" hidden="1" outlineLevel="2" x14ac:dyDescent="0.2">
      <c r="A124" s="208" t="s">
        <v>1061</v>
      </c>
      <c r="B124" s="100" t="s">
        <v>264</v>
      </c>
      <c r="C124" s="100" t="s">
        <v>725</v>
      </c>
      <c r="D124" s="157" t="s">
        <v>305</v>
      </c>
      <c r="E124" s="277">
        <v>2</v>
      </c>
      <c r="F124" s="423">
        <f>G124/E124</f>
        <v>7987.5</v>
      </c>
      <c r="G124" s="339">
        <f>НМЦК!K123</f>
        <v>15975</v>
      </c>
      <c r="H124" s="372"/>
      <c r="I124" s="277">
        <f>555</f>
        <v>555</v>
      </c>
      <c r="J124" s="372">
        <f>E124*I124</f>
        <v>1110</v>
      </c>
    </row>
    <row r="125" spans="1:10" s="373" customFormat="1" ht="15.75" hidden="1" outlineLevel="2" x14ac:dyDescent="0.2">
      <c r="A125" s="208" t="s">
        <v>1062</v>
      </c>
      <c r="B125" s="100" t="s">
        <v>264</v>
      </c>
      <c r="C125" s="100" t="s">
        <v>729</v>
      </c>
      <c r="D125" s="157" t="s">
        <v>305</v>
      </c>
      <c r="E125" s="277">
        <v>1</v>
      </c>
      <c r="F125" s="423">
        <f>G125/E125</f>
        <v>8636</v>
      </c>
      <c r="G125" s="339">
        <f>НМЦК!K124</f>
        <v>8636</v>
      </c>
      <c r="H125" s="372"/>
      <c r="I125" s="372">
        <v>600</v>
      </c>
      <c r="J125" s="374">
        <f>E125*I125</f>
        <v>600</v>
      </c>
    </row>
    <row r="126" spans="1:10" s="373" customFormat="1" ht="15.75" hidden="1" outlineLevel="2" x14ac:dyDescent="0.2">
      <c r="A126" s="208" t="s">
        <v>1063</v>
      </c>
      <c r="B126" s="100" t="s">
        <v>264</v>
      </c>
      <c r="C126" s="100" t="s">
        <v>730</v>
      </c>
      <c r="D126" s="157" t="s">
        <v>305</v>
      </c>
      <c r="E126" s="277">
        <v>1</v>
      </c>
      <c r="F126" s="423">
        <f>G126/E126</f>
        <v>29101</v>
      </c>
      <c r="G126" s="339">
        <f>НМЦК!K125</f>
        <v>29101</v>
      </c>
      <c r="H126" s="372"/>
      <c r="I126" s="372">
        <v>2022</v>
      </c>
      <c r="J126" s="374">
        <f>E126*I126</f>
        <v>2022</v>
      </c>
    </row>
    <row r="127" spans="1:10" s="373" customFormat="1" ht="15.75" hidden="1" outlineLevel="2" x14ac:dyDescent="0.2">
      <c r="A127" s="208"/>
      <c r="B127" s="100"/>
      <c r="C127" s="267" t="s">
        <v>1007</v>
      </c>
      <c r="D127" s="317"/>
      <c r="E127" s="277"/>
      <c r="F127" s="423"/>
      <c r="G127" s="339">
        <f>НМЦК!K126</f>
        <v>0</v>
      </c>
      <c r="H127" s="375"/>
      <c r="I127" s="372"/>
      <c r="J127" s="372"/>
    </row>
    <row r="128" spans="1:10" s="373" customFormat="1" ht="15.75" hidden="1" outlineLevel="2" x14ac:dyDescent="0.2">
      <c r="A128" s="208" t="s">
        <v>1064</v>
      </c>
      <c r="B128" s="100" t="s">
        <v>604</v>
      </c>
      <c r="C128" s="100" t="s">
        <v>602</v>
      </c>
      <c r="D128" s="157" t="s">
        <v>250</v>
      </c>
      <c r="E128" s="277">
        <v>1</v>
      </c>
      <c r="F128" s="423">
        <f>G128/E128</f>
        <v>90696</v>
      </c>
      <c r="G128" s="339">
        <f>НМЦК!K127</f>
        <v>90696</v>
      </c>
      <c r="H128" s="372"/>
      <c r="I128" s="372"/>
      <c r="J128" s="372"/>
    </row>
    <row r="129" spans="1:10" s="373" customFormat="1" ht="15.75" hidden="1" outlineLevel="2" x14ac:dyDescent="0.2">
      <c r="A129" s="208" t="s">
        <v>1065</v>
      </c>
      <c r="B129" s="100" t="s">
        <v>605</v>
      </c>
      <c r="C129" s="100" t="s">
        <v>603</v>
      </c>
      <c r="D129" s="157" t="s">
        <v>250</v>
      </c>
      <c r="E129" s="277">
        <v>1</v>
      </c>
      <c r="F129" s="423">
        <f>G129/E129</f>
        <v>32934</v>
      </c>
      <c r="G129" s="339">
        <f>НМЦК!K128</f>
        <v>32934</v>
      </c>
      <c r="H129" s="372"/>
      <c r="I129" s="372"/>
      <c r="J129" s="372"/>
    </row>
    <row r="130" spans="1:10" s="373" customFormat="1" ht="25.5" hidden="1" outlineLevel="2" x14ac:dyDescent="0.2">
      <c r="A130" s="208" t="s">
        <v>1066</v>
      </c>
      <c r="B130" s="100" t="s">
        <v>607</v>
      </c>
      <c r="C130" s="100" t="s">
        <v>606</v>
      </c>
      <c r="D130" s="317" t="s">
        <v>250</v>
      </c>
      <c r="E130" s="277">
        <v>1</v>
      </c>
      <c r="F130" s="423">
        <f>G130/E130</f>
        <v>62826</v>
      </c>
      <c r="G130" s="339">
        <f>НМЦК!K129</f>
        <v>62826</v>
      </c>
      <c r="H130" s="372"/>
      <c r="I130" s="372"/>
      <c r="J130" s="372"/>
    </row>
    <row r="131" spans="1:10" s="373" customFormat="1" ht="15.75" hidden="1" outlineLevel="2" x14ac:dyDescent="0.2">
      <c r="A131" s="208"/>
      <c r="B131" s="100"/>
      <c r="C131" s="267" t="s">
        <v>609</v>
      </c>
      <c r="D131" s="317"/>
      <c r="E131" s="277"/>
      <c r="F131" s="423"/>
      <c r="G131" s="339">
        <f>НМЦК!K130</f>
        <v>0</v>
      </c>
      <c r="H131" s="372"/>
      <c r="I131" s="372"/>
      <c r="J131" s="372"/>
    </row>
    <row r="132" spans="1:10" s="373" customFormat="1" ht="15.75" hidden="1" outlineLevel="2" x14ac:dyDescent="0.2">
      <c r="A132" s="208" t="s">
        <v>1067</v>
      </c>
      <c r="B132" s="100" t="s">
        <v>614</v>
      </c>
      <c r="C132" s="100" t="s">
        <v>610</v>
      </c>
      <c r="D132" s="317" t="s">
        <v>283</v>
      </c>
      <c r="E132" s="277">
        <v>2</v>
      </c>
      <c r="F132" s="423">
        <f>G132/E132</f>
        <v>3873</v>
      </c>
      <c r="G132" s="339">
        <f>НМЦК!K131</f>
        <v>7746</v>
      </c>
      <c r="H132" s="372"/>
      <c r="I132" s="372"/>
      <c r="J132" s="372"/>
    </row>
    <row r="133" spans="1:10" s="373" customFormat="1" ht="15.75" hidden="1" outlineLevel="2" x14ac:dyDescent="0.2">
      <c r="A133" s="208" t="s">
        <v>1068</v>
      </c>
      <c r="B133" s="100" t="s">
        <v>615</v>
      </c>
      <c r="C133" s="100" t="s">
        <v>611</v>
      </c>
      <c r="D133" s="317" t="s">
        <v>283</v>
      </c>
      <c r="E133" s="277">
        <v>3</v>
      </c>
      <c r="F133" s="423">
        <f>G133/E133</f>
        <v>474.67</v>
      </c>
      <c r="G133" s="339">
        <f>НМЦК!K132</f>
        <v>1424</v>
      </c>
      <c r="H133" s="372"/>
      <c r="I133" s="372"/>
      <c r="J133" s="372"/>
    </row>
    <row r="134" spans="1:10" s="373" customFormat="1" ht="38.25" hidden="1" outlineLevel="2" x14ac:dyDescent="0.2">
      <c r="A134" s="208" t="s">
        <v>1069</v>
      </c>
      <c r="B134" s="100" t="s">
        <v>616</v>
      </c>
      <c r="C134" s="100" t="s">
        <v>612</v>
      </c>
      <c r="D134" s="317" t="s">
        <v>283</v>
      </c>
      <c r="E134" s="277">
        <v>2</v>
      </c>
      <c r="F134" s="423">
        <f>G134/E134</f>
        <v>832</v>
      </c>
      <c r="G134" s="339">
        <f>НМЦК!K133</f>
        <v>1664</v>
      </c>
      <c r="H134" s="375" t="s">
        <v>613</v>
      </c>
      <c r="I134" s="372"/>
      <c r="J134" s="372"/>
    </row>
    <row r="135" spans="1:10" s="373" customFormat="1" ht="15.75" hidden="1" outlineLevel="2" x14ac:dyDescent="0.2">
      <c r="A135" s="208"/>
      <c r="B135" s="100"/>
      <c r="C135" s="267" t="s">
        <v>1008</v>
      </c>
      <c r="D135" s="157"/>
      <c r="E135" s="277"/>
      <c r="F135" s="423"/>
      <c r="G135" s="339">
        <f>НМЦК!K134</f>
        <v>0</v>
      </c>
      <c r="H135" s="375"/>
      <c r="I135" s="372"/>
      <c r="J135" s="372"/>
    </row>
    <row r="136" spans="1:10" s="373" customFormat="1" ht="25.5" hidden="1" outlineLevel="2" x14ac:dyDescent="0.2">
      <c r="A136" s="208" t="s">
        <v>1070</v>
      </c>
      <c r="B136" s="100" t="s">
        <v>618</v>
      </c>
      <c r="C136" s="100" t="s">
        <v>617</v>
      </c>
      <c r="D136" s="157" t="s">
        <v>250</v>
      </c>
      <c r="E136" s="277">
        <v>1</v>
      </c>
      <c r="F136" s="423">
        <f>G136/E136</f>
        <v>863495</v>
      </c>
      <c r="G136" s="339">
        <f>НМЦК!K135</f>
        <v>863495</v>
      </c>
      <c r="H136" s="372"/>
      <c r="I136" s="372"/>
      <c r="J136" s="372"/>
    </row>
    <row r="137" spans="1:10" s="373" customFormat="1" ht="15.75" hidden="1" outlineLevel="2" x14ac:dyDescent="0.2">
      <c r="A137" s="208" t="s">
        <v>1071</v>
      </c>
      <c r="B137" s="100" t="s">
        <v>621</v>
      </c>
      <c r="C137" s="100" t="s">
        <v>620</v>
      </c>
      <c r="D137" s="157" t="s">
        <v>250</v>
      </c>
      <c r="E137" s="277">
        <v>1</v>
      </c>
      <c r="F137" s="423">
        <f>G137/E137</f>
        <v>338215</v>
      </c>
      <c r="G137" s="339">
        <f>НМЦК!K136</f>
        <v>338215</v>
      </c>
      <c r="H137" s="372"/>
      <c r="I137" s="372"/>
      <c r="J137" s="372"/>
    </row>
    <row r="138" spans="1:10" s="373" customFormat="1" ht="15.75" hidden="1" outlineLevel="2" x14ac:dyDescent="0.2">
      <c r="A138" s="208"/>
      <c r="B138" s="100"/>
      <c r="C138" s="267" t="s">
        <v>1009</v>
      </c>
      <c r="D138" s="157"/>
      <c r="E138" s="277"/>
      <c r="F138" s="423"/>
      <c r="G138" s="339">
        <f>НМЦК!K137</f>
        <v>0</v>
      </c>
      <c r="H138" s="375"/>
      <c r="I138" s="372"/>
      <c r="J138" s="372"/>
    </row>
    <row r="139" spans="1:10" s="373" customFormat="1" ht="15.75" hidden="1" outlineLevel="2" x14ac:dyDescent="0.2">
      <c r="A139" s="208" t="s">
        <v>1072</v>
      </c>
      <c r="B139" s="100" t="s">
        <v>624</v>
      </c>
      <c r="C139" s="100" t="s">
        <v>1010</v>
      </c>
      <c r="D139" s="157" t="s">
        <v>250</v>
      </c>
      <c r="E139" s="277">
        <v>1</v>
      </c>
      <c r="F139" s="423">
        <f>G139/E139</f>
        <v>691026</v>
      </c>
      <c r="G139" s="339">
        <f>НМЦК!K138</f>
        <v>691026</v>
      </c>
      <c r="H139" s="372"/>
      <c r="I139" s="372"/>
      <c r="J139" s="372"/>
    </row>
    <row r="140" spans="1:10" s="373" customFormat="1" ht="15.75" hidden="1" outlineLevel="2" x14ac:dyDescent="0.2">
      <c r="A140" s="208" t="s">
        <v>1073</v>
      </c>
      <c r="B140" s="100" t="s">
        <v>626</v>
      </c>
      <c r="C140" s="100" t="s">
        <v>1011</v>
      </c>
      <c r="D140" s="157" t="s">
        <v>250</v>
      </c>
      <c r="E140" s="277">
        <v>1</v>
      </c>
      <c r="F140" s="423">
        <f>G140/E140</f>
        <v>23020</v>
      </c>
      <c r="G140" s="339">
        <f>НМЦК!K139</f>
        <v>23020</v>
      </c>
      <c r="H140" s="372"/>
      <c r="I140" s="372"/>
      <c r="J140" s="372"/>
    </row>
    <row r="141" spans="1:10" s="373" customFormat="1" ht="25.5" hidden="1" outlineLevel="2" x14ac:dyDescent="0.2">
      <c r="A141" s="208"/>
      <c r="B141" s="100"/>
      <c r="C141" s="267" t="s">
        <v>1020</v>
      </c>
      <c r="D141" s="157"/>
      <c r="E141" s="277"/>
      <c r="F141" s="423"/>
      <c r="G141" s="339">
        <f>НМЦК!K140</f>
        <v>0</v>
      </c>
      <c r="H141" s="372"/>
      <c r="I141" s="372"/>
      <c r="J141" s="372"/>
    </row>
    <row r="142" spans="1:10" s="373" customFormat="1" ht="15.75" hidden="1" outlineLevel="2" x14ac:dyDescent="0.2">
      <c r="A142" s="208" t="s">
        <v>1074</v>
      </c>
      <c r="B142" s="100" t="s">
        <v>670</v>
      </c>
      <c r="C142" s="100" t="s">
        <v>664</v>
      </c>
      <c r="D142" s="157" t="s">
        <v>271</v>
      </c>
      <c r="E142" s="277">
        <v>991</v>
      </c>
      <c r="F142" s="423">
        <f t="shared" ref="F142:F150" si="7">G142/E142</f>
        <v>29.48</v>
      </c>
      <c r="G142" s="339">
        <f>НМЦК!K141</f>
        <v>29212</v>
      </c>
      <c r="H142" s="372"/>
      <c r="I142" s="372"/>
      <c r="J142" s="372"/>
    </row>
    <row r="143" spans="1:10" s="373" customFormat="1" ht="38.25" hidden="1" outlineLevel="2" x14ac:dyDescent="0.2">
      <c r="A143" s="208" t="s">
        <v>1075</v>
      </c>
      <c r="B143" s="100" t="s">
        <v>672</v>
      </c>
      <c r="C143" s="100" t="s">
        <v>671</v>
      </c>
      <c r="D143" s="157" t="s">
        <v>262</v>
      </c>
      <c r="E143" s="277">
        <v>1</v>
      </c>
      <c r="F143" s="423">
        <f t="shared" si="7"/>
        <v>1690</v>
      </c>
      <c r="G143" s="339">
        <f>НМЦК!K142</f>
        <v>1690</v>
      </c>
      <c r="H143" s="372"/>
      <c r="I143" s="372"/>
      <c r="J143" s="372"/>
    </row>
    <row r="144" spans="1:10" s="373" customFormat="1" ht="25.5" hidden="1" outlineLevel="2" x14ac:dyDescent="0.2">
      <c r="A144" s="208" t="s">
        <v>1076</v>
      </c>
      <c r="B144" s="100" t="s">
        <v>674</v>
      </c>
      <c r="C144" s="100" t="s">
        <v>666</v>
      </c>
      <c r="D144" s="157" t="s">
        <v>262</v>
      </c>
      <c r="E144" s="277">
        <v>751</v>
      </c>
      <c r="F144" s="423">
        <f t="shared" si="7"/>
        <v>137.21</v>
      </c>
      <c r="G144" s="339">
        <f>НМЦК!K143</f>
        <v>103047</v>
      </c>
      <c r="H144" s="372" t="s">
        <v>673</v>
      </c>
      <c r="I144" s="372"/>
      <c r="J144" s="372"/>
    </row>
    <row r="145" spans="1:10" s="373" customFormat="1" ht="25.5" hidden="1" outlineLevel="2" x14ac:dyDescent="0.2">
      <c r="A145" s="208" t="s">
        <v>1077</v>
      </c>
      <c r="B145" s="100" t="s">
        <v>676</v>
      </c>
      <c r="C145" s="100" t="s">
        <v>675</v>
      </c>
      <c r="D145" s="157" t="s">
        <v>262</v>
      </c>
      <c r="E145" s="277">
        <v>751</v>
      </c>
      <c r="F145" s="423">
        <f t="shared" si="7"/>
        <v>26.92</v>
      </c>
      <c r="G145" s="339">
        <f>НМЦК!K144</f>
        <v>20216</v>
      </c>
      <c r="H145" s="372"/>
      <c r="I145" s="372"/>
      <c r="J145" s="372"/>
    </row>
    <row r="146" spans="1:10" s="373" customFormat="1" ht="25.5" hidden="1" outlineLevel="2" x14ac:dyDescent="0.2">
      <c r="A146" s="208" t="s">
        <v>1078</v>
      </c>
      <c r="B146" s="100" t="s">
        <v>678</v>
      </c>
      <c r="C146" s="100" t="s">
        <v>677</v>
      </c>
      <c r="D146" s="157" t="s">
        <v>262</v>
      </c>
      <c r="E146" s="277">
        <v>38</v>
      </c>
      <c r="F146" s="423">
        <f t="shared" si="7"/>
        <v>88.11</v>
      </c>
      <c r="G146" s="339">
        <f>НМЦК!K145</f>
        <v>3348</v>
      </c>
      <c r="H146" s="375" t="s">
        <v>679</v>
      </c>
      <c r="I146" s="372"/>
      <c r="J146" s="372"/>
    </row>
    <row r="147" spans="1:10" s="373" customFormat="1" ht="25.5" hidden="1" outlineLevel="2" x14ac:dyDescent="0.2">
      <c r="A147" s="208" t="s">
        <v>1079</v>
      </c>
      <c r="B147" s="100" t="s">
        <v>680</v>
      </c>
      <c r="C147" s="100" t="s">
        <v>668</v>
      </c>
      <c r="D147" s="157" t="s">
        <v>271</v>
      </c>
      <c r="E147" s="277">
        <v>408</v>
      </c>
      <c r="F147" s="423">
        <f t="shared" si="7"/>
        <v>220.63</v>
      </c>
      <c r="G147" s="339">
        <f>НМЦК!K146</f>
        <v>90019</v>
      </c>
      <c r="H147" s="375"/>
      <c r="I147" s="372"/>
      <c r="J147" s="372"/>
    </row>
    <row r="148" spans="1:10" s="362" customFormat="1" ht="25.5" outlineLevel="1" collapsed="1" x14ac:dyDescent="0.2">
      <c r="A148" s="282" t="s">
        <v>294</v>
      </c>
      <c r="B148" s="283" t="s">
        <v>303</v>
      </c>
      <c r="C148" s="283" t="s">
        <v>1080</v>
      </c>
      <c r="D148" s="371" t="s">
        <v>283</v>
      </c>
      <c r="E148" s="154">
        <v>1</v>
      </c>
      <c r="F148" s="422">
        <f t="shared" si="7"/>
        <v>226043</v>
      </c>
      <c r="G148" s="337">
        <f>НМЦК!K147</f>
        <v>226043</v>
      </c>
      <c r="H148" s="360"/>
      <c r="I148" s="154">
        <v>2550</v>
      </c>
      <c r="J148" s="360"/>
    </row>
    <row r="149" spans="1:10" s="362" customFormat="1" ht="15.75" outlineLevel="1" x14ac:dyDescent="0.2">
      <c r="A149" s="282" t="s">
        <v>919</v>
      </c>
      <c r="B149" s="283"/>
      <c r="C149" s="283" t="s">
        <v>984</v>
      </c>
      <c r="D149" s="359" t="s">
        <v>250</v>
      </c>
      <c r="E149" s="154">
        <v>1</v>
      </c>
      <c r="F149" s="422">
        <f t="shared" si="7"/>
        <v>12548772</v>
      </c>
      <c r="G149" s="337">
        <f>НМЦК!K148</f>
        <v>12548772</v>
      </c>
      <c r="H149" s="360"/>
      <c r="I149" s="360"/>
      <c r="J149" s="360"/>
    </row>
    <row r="150" spans="1:10" s="196" customFormat="1" ht="15.75" hidden="1" outlineLevel="2" x14ac:dyDescent="0.2">
      <c r="A150" s="208" t="s">
        <v>1081</v>
      </c>
      <c r="B150" s="93"/>
      <c r="C150" s="93" t="s">
        <v>990</v>
      </c>
      <c r="D150" s="317" t="s">
        <v>250</v>
      </c>
      <c r="E150" s="158">
        <v>1</v>
      </c>
      <c r="F150" s="429">
        <f t="shared" si="7"/>
        <v>3042568</v>
      </c>
      <c r="G150" s="338">
        <f>НМЦК!K149</f>
        <v>3042568</v>
      </c>
      <c r="H150" s="195"/>
      <c r="I150" s="195"/>
      <c r="J150" s="195"/>
    </row>
    <row r="151" spans="1:10" s="390" customFormat="1" ht="15.75" hidden="1" outlineLevel="3" x14ac:dyDescent="0.2">
      <c r="A151" s="258"/>
      <c r="B151" s="132"/>
      <c r="C151" s="192" t="s">
        <v>429</v>
      </c>
      <c r="D151" s="314"/>
      <c r="E151" s="278"/>
      <c r="F151" s="424"/>
      <c r="G151" s="388">
        <f>НМЦК!K150</f>
        <v>0</v>
      </c>
      <c r="H151" s="194"/>
      <c r="I151" s="194"/>
      <c r="J151" s="194"/>
    </row>
    <row r="152" spans="1:10" s="390" customFormat="1" ht="15.75" hidden="1" outlineLevel="3" x14ac:dyDescent="0.2">
      <c r="A152" s="191" t="s">
        <v>1082</v>
      </c>
      <c r="B152" s="132" t="s">
        <v>997</v>
      </c>
      <c r="C152" s="132" t="s">
        <v>994</v>
      </c>
      <c r="D152" s="314" t="s">
        <v>262</v>
      </c>
      <c r="E152" s="315">
        <f>0.61</f>
        <v>0.61</v>
      </c>
      <c r="F152" s="424">
        <f>G152/E152</f>
        <v>34116.39</v>
      </c>
      <c r="G152" s="388">
        <f>НМЦК!K151</f>
        <v>20811</v>
      </c>
      <c r="H152" s="194"/>
      <c r="I152" s="194"/>
      <c r="J152" s="194"/>
    </row>
    <row r="153" spans="1:10" s="390" customFormat="1" ht="15.75" hidden="1" outlineLevel="3" x14ac:dyDescent="0.2">
      <c r="A153" s="191" t="s">
        <v>1083</v>
      </c>
      <c r="B153" s="132" t="s">
        <v>998</v>
      </c>
      <c r="C153" s="132" t="s">
        <v>995</v>
      </c>
      <c r="D153" s="314" t="s">
        <v>996</v>
      </c>
      <c r="E153" s="399">
        <f>0.0966</f>
        <v>9.6600000000000005E-2</v>
      </c>
      <c r="F153" s="424">
        <f>G153/E153</f>
        <v>74492.75</v>
      </c>
      <c r="G153" s="388">
        <f>НМЦК!K152</f>
        <v>7196</v>
      </c>
      <c r="H153" s="194"/>
      <c r="I153" s="194"/>
      <c r="J153" s="194"/>
    </row>
    <row r="154" spans="1:10" s="390" customFormat="1" ht="15.75" hidden="1" outlineLevel="3" x14ac:dyDescent="0.2">
      <c r="A154" s="191"/>
      <c r="B154" s="132"/>
      <c r="C154" s="192" t="s">
        <v>993</v>
      </c>
      <c r="D154" s="315"/>
      <c r="E154" s="233"/>
      <c r="F154" s="424"/>
      <c r="G154" s="388">
        <f>НМЦК!K153</f>
        <v>0</v>
      </c>
      <c r="H154" s="194"/>
      <c r="I154" s="194"/>
      <c r="J154" s="194"/>
    </row>
    <row r="155" spans="1:10" s="390" customFormat="1" ht="102" hidden="1" outlineLevel="3" x14ac:dyDescent="0.2">
      <c r="A155" s="191" t="s">
        <v>1084</v>
      </c>
      <c r="B155" s="132" t="s">
        <v>437</v>
      </c>
      <c r="C155" s="132" t="s">
        <v>432</v>
      </c>
      <c r="D155" s="315" t="s">
        <v>283</v>
      </c>
      <c r="E155" s="233">
        <v>1</v>
      </c>
      <c r="F155" s="424">
        <f t="shared" ref="F155:F169" si="8">G155/E155</f>
        <v>1183177</v>
      </c>
      <c r="G155" s="388">
        <f>НМЦК!K154</f>
        <v>1183177</v>
      </c>
      <c r="H155" s="389" t="s">
        <v>789</v>
      </c>
      <c r="I155" s="194"/>
      <c r="J155" s="194"/>
    </row>
    <row r="156" spans="1:10" s="390" customFormat="1" ht="25.5" hidden="1" outlineLevel="3" x14ac:dyDescent="0.2">
      <c r="A156" s="191" t="s">
        <v>1085</v>
      </c>
      <c r="B156" s="132" t="s">
        <v>436</v>
      </c>
      <c r="C156" s="132" t="s">
        <v>435</v>
      </c>
      <c r="D156" s="315" t="s">
        <v>271</v>
      </c>
      <c r="E156" s="233">
        <v>40</v>
      </c>
      <c r="F156" s="424">
        <f t="shared" si="8"/>
        <v>5237.7</v>
      </c>
      <c r="G156" s="388">
        <f>НМЦК!K155</f>
        <v>209508</v>
      </c>
      <c r="H156" s="194"/>
      <c r="I156" s="194"/>
      <c r="J156" s="194"/>
    </row>
    <row r="157" spans="1:10" s="390" customFormat="1" ht="63.75" hidden="1" outlineLevel="3" x14ac:dyDescent="0.2">
      <c r="A157" s="191" t="s">
        <v>1086</v>
      </c>
      <c r="B157" s="132" t="s">
        <v>434</v>
      </c>
      <c r="C157" s="132" t="s">
        <v>433</v>
      </c>
      <c r="D157" s="315" t="s">
        <v>363</v>
      </c>
      <c r="E157" s="278">
        <f>49.8</f>
        <v>49.8</v>
      </c>
      <c r="F157" s="424">
        <f t="shared" si="8"/>
        <v>2390.48</v>
      </c>
      <c r="G157" s="388">
        <f>НМЦК!K156</f>
        <v>119046</v>
      </c>
      <c r="H157" s="389" t="s">
        <v>790</v>
      </c>
      <c r="I157" s="194"/>
      <c r="J157" s="194"/>
    </row>
    <row r="158" spans="1:10" s="390" customFormat="1" ht="15.75" hidden="1" outlineLevel="3" x14ac:dyDescent="0.2">
      <c r="A158" s="191" t="s">
        <v>1087</v>
      </c>
      <c r="B158" s="132" t="s">
        <v>439</v>
      </c>
      <c r="C158" s="132" t="s">
        <v>438</v>
      </c>
      <c r="D158" s="315" t="s">
        <v>271</v>
      </c>
      <c r="E158" s="233">
        <v>33</v>
      </c>
      <c r="F158" s="424">
        <f t="shared" si="8"/>
        <v>2534.12</v>
      </c>
      <c r="G158" s="388">
        <f>НМЦК!K157</f>
        <v>83626</v>
      </c>
      <c r="H158" s="194"/>
      <c r="I158" s="194"/>
      <c r="J158" s="194"/>
    </row>
    <row r="159" spans="1:10" s="390" customFormat="1" ht="15.75" hidden="1" outlineLevel="3" x14ac:dyDescent="0.2">
      <c r="A159" s="191" t="s">
        <v>1088</v>
      </c>
      <c r="B159" s="132" t="s">
        <v>441</v>
      </c>
      <c r="C159" s="132" t="s">
        <v>440</v>
      </c>
      <c r="D159" s="315" t="s">
        <v>271</v>
      </c>
      <c r="E159" s="233">
        <v>7</v>
      </c>
      <c r="F159" s="424">
        <f t="shared" si="8"/>
        <v>37742.86</v>
      </c>
      <c r="G159" s="388">
        <f>НМЦК!K158</f>
        <v>264200</v>
      </c>
      <c r="H159" s="194"/>
      <c r="I159" s="194"/>
      <c r="J159" s="194"/>
    </row>
    <row r="160" spans="1:10" s="390" customFormat="1" ht="15.75" hidden="1" outlineLevel="3" x14ac:dyDescent="0.2">
      <c r="A160" s="191" t="s">
        <v>1089</v>
      </c>
      <c r="B160" s="132" t="s">
        <v>442</v>
      </c>
      <c r="C160" s="132" t="s">
        <v>443</v>
      </c>
      <c r="D160" s="315" t="s">
        <v>250</v>
      </c>
      <c r="E160" s="233">
        <v>1</v>
      </c>
      <c r="F160" s="424">
        <f t="shared" si="8"/>
        <v>62046</v>
      </c>
      <c r="G160" s="388">
        <f>НМЦК!K159</f>
        <v>62046</v>
      </c>
      <c r="H160" s="194"/>
      <c r="I160" s="194"/>
      <c r="J160" s="194"/>
    </row>
    <row r="161" spans="1:10" s="390" customFormat="1" ht="51" hidden="1" outlineLevel="3" x14ac:dyDescent="0.2">
      <c r="A161" s="191" t="s">
        <v>1090</v>
      </c>
      <c r="B161" s="132" t="s">
        <v>446</v>
      </c>
      <c r="C161" s="132" t="s">
        <v>444</v>
      </c>
      <c r="D161" s="315" t="s">
        <v>363</v>
      </c>
      <c r="E161" s="278">
        <f>3.8</f>
        <v>3.8</v>
      </c>
      <c r="F161" s="424">
        <f t="shared" si="8"/>
        <v>4447.8900000000003</v>
      </c>
      <c r="G161" s="388">
        <f>НМЦК!K160</f>
        <v>16902</v>
      </c>
      <c r="H161" s="389" t="s">
        <v>791</v>
      </c>
      <c r="I161" s="194"/>
      <c r="J161" s="194"/>
    </row>
    <row r="162" spans="1:10" s="390" customFormat="1" ht="15.75" hidden="1" outlineLevel="3" x14ac:dyDescent="0.2">
      <c r="A162" s="191" t="s">
        <v>1091</v>
      </c>
      <c r="B162" s="132" t="s">
        <v>447</v>
      </c>
      <c r="C162" s="132" t="s">
        <v>445</v>
      </c>
      <c r="D162" s="315" t="s">
        <v>305</v>
      </c>
      <c r="E162" s="233">
        <v>1</v>
      </c>
      <c r="F162" s="424">
        <f t="shared" si="8"/>
        <v>110126</v>
      </c>
      <c r="G162" s="388">
        <f>НМЦК!K161</f>
        <v>110126</v>
      </c>
      <c r="H162" s="389"/>
      <c r="I162" s="194"/>
      <c r="J162" s="194"/>
    </row>
    <row r="163" spans="1:10" s="390" customFormat="1" ht="15.75" hidden="1" outlineLevel="3" x14ac:dyDescent="0.2">
      <c r="A163" s="191" t="s">
        <v>1092</v>
      </c>
      <c r="B163" s="132" t="s">
        <v>449</v>
      </c>
      <c r="C163" s="132" t="s">
        <v>448</v>
      </c>
      <c r="D163" s="315" t="s">
        <v>305</v>
      </c>
      <c r="E163" s="233">
        <v>2</v>
      </c>
      <c r="F163" s="424">
        <f t="shared" si="8"/>
        <v>31098</v>
      </c>
      <c r="G163" s="388">
        <f>НМЦК!K162</f>
        <v>62196</v>
      </c>
      <c r="H163" s="389"/>
      <c r="I163" s="194"/>
      <c r="J163" s="194"/>
    </row>
    <row r="164" spans="1:10" s="390" customFormat="1" ht="15.75" hidden="1" outlineLevel="3" x14ac:dyDescent="0.2">
      <c r="A164" s="191" t="s">
        <v>1093</v>
      </c>
      <c r="B164" s="132" t="s">
        <v>451</v>
      </c>
      <c r="C164" s="132" t="s">
        <v>450</v>
      </c>
      <c r="D164" s="315" t="s">
        <v>363</v>
      </c>
      <c r="E164" s="278">
        <v>4.2</v>
      </c>
      <c r="F164" s="424">
        <f t="shared" si="8"/>
        <v>639.29</v>
      </c>
      <c r="G164" s="388">
        <f>НМЦК!K163</f>
        <v>2685</v>
      </c>
      <c r="H164" s="389"/>
      <c r="I164" s="194"/>
      <c r="J164" s="194"/>
    </row>
    <row r="165" spans="1:10" s="390" customFormat="1" ht="38.25" hidden="1" outlineLevel="3" x14ac:dyDescent="0.2">
      <c r="A165" s="191" t="s">
        <v>1094</v>
      </c>
      <c r="B165" s="132" t="s">
        <v>453</v>
      </c>
      <c r="C165" s="132" t="s">
        <v>452</v>
      </c>
      <c r="D165" s="315" t="s">
        <v>305</v>
      </c>
      <c r="E165" s="233">
        <v>1</v>
      </c>
      <c r="F165" s="424">
        <f t="shared" si="8"/>
        <v>39345</v>
      </c>
      <c r="G165" s="388">
        <f>НМЦК!K164</f>
        <v>39345</v>
      </c>
      <c r="H165" s="389"/>
      <c r="I165" s="194"/>
      <c r="J165" s="194"/>
    </row>
    <row r="166" spans="1:10" s="390" customFormat="1" ht="25.5" hidden="1" outlineLevel="3" x14ac:dyDescent="0.2">
      <c r="A166" s="191" t="s">
        <v>1095</v>
      </c>
      <c r="B166" s="132" t="s">
        <v>454</v>
      </c>
      <c r="C166" s="132" t="s">
        <v>455</v>
      </c>
      <c r="D166" s="315" t="s">
        <v>271</v>
      </c>
      <c r="E166" s="233">
        <v>7</v>
      </c>
      <c r="F166" s="424">
        <f t="shared" si="8"/>
        <v>4657.29</v>
      </c>
      <c r="G166" s="388">
        <f>НМЦК!K165</f>
        <v>32601</v>
      </c>
      <c r="H166" s="389"/>
      <c r="I166" s="194"/>
      <c r="J166" s="194"/>
    </row>
    <row r="167" spans="1:10" s="390" customFormat="1" ht="15.75" hidden="1" outlineLevel="3" x14ac:dyDescent="0.2">
      <c r="A167" s="191" t="s">
        <v>1096</v>
      </c>
      <c r="B167" s="132" t="s">
        <v>457</v>
      </c>
      <c r="C167" s="132" t="s">
        <v>456</v>
      </c>
      <c r="D167" s="315" t="s">
        <v>271</v>
      </c>
      <c r="E167" s="233">
        <v>30</v>
      </c>
      <c r="F167" s="424">
        <f t="shared" si="8"/>
        <v>1163.0999999999999</v>
      </c>
      <c r="G167" s="388">
        <f>НМЦК!K166</f>
        <v>34893</v>
      </c>
      <c r="H167" s="389"/>
      <c r="I167" s="194"/>
      <c r="J167" s="194"/>
    </row>
    <row r="168" spans="1:10" s="390" customFormat="1" ht="15.75" hidden="1" outlineLevel="3" x14ac:dyDescent="0.2">
      <c r="A168" s="191" t="s">
        <v>1097</v>
      </c>
      <c r="B168" s="132" t="s">
        <v>459</v>
      </c>
      <c r="C168" s="132" t="s">
        <v>458</v>
      </c>
      <c r="D168" s="315" t="s">
        <v>271</v>
      </c>
      <c r="E168" s="233">
        <v>7</v>
      </c>
      <c r="F168" s="424">
        <f t="shared" si="8"/>
        <v>983.86</v>
      </c>
      <c r="G168" s="388">
        <f>НМЦК!K167</f>
        <v>6887</v>
      </c>
      <c r="H168" s="389"/>
      <c r="I168" s="194"/>
      <c r="J168" s="194"/>
    </row>
    <row r="169" spans="1:10" s="390" customFormat="1" ht="15.75" hidden="1" outlineLevel="3" x14ac:dyDescent="0.2">
      <c r="A169" s="191" t="s">
        <v>1098</v>
      </c>
      <c r="B169" s="132" t="s">
        <v>462</v>
      </c>
      <c r="C169" s="132" t="s">
        <v>461</v>
      </c>
      <c r="D169" s="315" t="s">
        <v>305</v>
      </c>
      <c r="E169" s="233">
        <v>2</v>
      </c>
      <c r="F169" s="424">
        <f t="shared" si="8"/>
        <v>4435.5</v>
      </c>
      <c r="G169" s="388">
        <f>НМЦК!K168</f>
        <v>8871</v>
      </c>
      <c r="H169" s="194"/>
      <c r="I169" s="194"/>
      <c r="J169" s="194"/>
    </row>
    <row r="170" spans="1:10" s="390" customFormat="1" ht="15.75" hidden="1" outlineLevel="3" x14ac:dyDescent="0.2">
      <c r="A170" s="191"/>
      <c r="B170" s="132"/>
      <c r="C170" s="192" t="s">
        <v>992</v>
      </c>
      <c r="D170" s="315"/>
      <c r="E170" s="233"/>
      <c r="F170" s="424"/>
      <c r="G170" s="388">
        <f>НМЦК!K169</f>
        <v>0</v>
      </c>
      <c r="H170" s="194"/>
      <c r="I170" s="194"/>
      <c r="J170" s="194"/>
    </row>
    <row r="171" spans="1:10" s="390" customFormat="1" ht="25.5" hidden="1" outlineLevel="3" x14ac:dyDescent="0.2">
      <c r="A171" s="191" t="s">
        <v>1099</v>
      </c>
      <c r="B171" s="132" t="s">
        <v>464</v>
      </c>
      <c r="C171" s="132" t="s">
        <v>463</v>
      </c>
      <c r="D171" s="315" t="s">
        <v>283</v>
      </c>
      <c r="E171" s="233">
        <v>1</v>
      </c>
      <c r="F171" s="424">
        <f>G171/E171</f>
        <v>112756</v>
      </c>
      <c r="G171" s="388">
        <f>НМЦК!K170</f>
        <v>112756</v>
      </c>
      <c r="H171" s="194"/>
      <c r="I171" s="194"/>
      <c r="J171" s="194"/>
    </row>
    <row r="172" spans="1:10" s="390" customFormat="1" ht="25.5" hidden="1" outlineLevel="3" x14ac:dyDescent="0.2">
      <c r="A172" s="191" t="s">
        <v>1100</v>
      </c>
      <c r="B172" s="132" t="s">
        <v>466</v>
      </c>
      <c r="C172" s="132" t="s">
        <v>465</v>
      </c>
      <c r="D172" s="315" t="s">
        <v>283</v>
      </c>
      <c r="E172" s="233">
        <v>1</v>
      </c>
      <c r="F172" s="424">
        <f>G172/E172</f>
        <v>200321</v>
      </c>
      <c r="G172" s="388">
        <f>НМЦК!K171</f>
        <v>200321</v>
      </c>
      <c r="H172" s="194"/>
      <c r="I172" s="194"/>
      <c r="J172" s="194"/>
    </row>
    <row r="173" spans="1:10" s="390" customFormat="1" ht="15.75" hidden="1" outlineLevel="3" x14ac:dyDescent="0.2">
      <c r="A173" s="191" t="s">
        <v>1101</v>
      </c>
      <c r="B173" s="132" t="s">
        <v>468</v>
      </c>
      <c r="C173" s="132" t="s">
        <v>467</v>
      </c>
      <c r="D173" s="315" t="s">
        <v>250</v>
      </c>
      <c r="E173" s="233">
        <v>1</v>
      </c>
      <c r="F173" s="424">
        <f>G173/E173</f>
        <v>39211</v>
      </c>
      <c r="G173" s="388">
        <f>НМЦК!K172</f>
        <v>39211</v>
      </c>
      <c r="H173" s="194"/>
      <c r="I173" s="194"/>
      <c r="J173" s="194"/>
    </row>
    <row r="174" spans="1:10" s="390" customFormat="1" ht="15.75" hidden="1" outlineLevel="3" x14ac:dyDescent="0.2">
      <c r="A174" s="191" t="s">
        <v>1102</v>
      </c>
      <c r="B174" s="132" t="s">
        <v>470</v>
      </c>
      <c r="C174" s="132" t="s">
        <v>469</v>
      </c>
      <c r="D174" s="315" t="s">
        <v>250</v>
      </c>
      <c r="E174" s="233">
        <v>1</v>
      </c>
      <c r="F174" s="424">
        <f>G174/E174</f>
        <v>164156</v>
      </c>
      <c r="G174" s="388">
        <f>НМЦК!K173</f>
        <v>164156</v>
      </c>
      <c r="H174" s="194"/>
      <c r="I174" s="194"/>
      <c r="J174" s="194"/>
    </row>
    <row r="175" spans="1:10" s="390" customFormat="1" ht="15.75" hidden="1" outlineLevel="3" x14ac:dyDescent="0.2">
      <c r="A175" s="191" t="s">
        <v>1103</v>
      </c>
      <c r="B175" s="132" t="s">
        <v>472</v>
      </c>
      <c r="C175" s="132" t="s">
        <v>471</v>
      </c>
      <c r="D175" s="315" t="s">
        <v>250</v>
      </c>
      <c r="E175" s="233">
        <v>1</v>
      </c>
      <c r="F175" s="424">
        <f>G175/E175</f>
        <v>214061</v>
      </c>
      <c r="G175" s="388">
        <f>НМЦК!K174</f>
        <v>214061</v>
      </c>
      <c r="H175" s="194"/>
      <c r="I175" s="194"/>
      <c r="J175" s="194"/>
    </row>
    <row r="176" spans="1:10" s="390" customFormat="1" ht="15.75" hidden="1" outlineLevel="3" x14ac:dyDescent="0.2">
      <c r="A176" s="191"/>
      <c r="B176" s="132"/>
      <c r="C176" s="192" t="s">
        <v>999</v>
      </c>
      <c r="D176" s="315"/>
      <c r="E176" s="233"/>
      <c r="F176" s="424"/>
      <c r="G176" s="388">
        <f>НМЦК!K175</f>
        <v>0</v>
      </c>
      <c r="H176" s="194"/>
      <c r="I176" s="194"/>
      <c r="J176" s="194"/>
    </row>
    <row r="177" spans="1:10" s="390" customFormat="1" ht="63.75" hidden="1" outlineLevel="3" x14ac:dyDescent="0.2">
      <c r="A177" s="191" t="s">
        <v>1104</v>
      </c>
      <c r="B177" s="132" t="s">
        <v>474</v>
      </c>
      <c r="C177" s="132" t="s">
        <v>473</v>
      </c>
      <c r="D177" s="315" t="s">
        <v>283</v>
      </c>
      <c r="E177" s="233">
        <v>1</v>
      </c>
      <c r="F177" s="424">
        <f>G177/E177</f>
        <v>30911</v>
      </c>
      <c r="G177" s="388">
        <f>НМЦК!K176</f>
        <v>30911</v>
      </c>
      <c r="H177" s="389" t="s">
        <v>1226</v>
      </c>
      <c r="I177" s="194"/>
      <c r="J177" s="194"/>
    </row>
    <row r="178" spans="1:10" s="390" customFormat="1" ht="63.75" hidden="1" outlineLevel="3" x14ac:dyDescent="0.2">
      <c r="A178" s="191" t="s">
        <v>1105</v>
      </c>
      <c r="B178" s="132" t="s">
        <v>476</v>
      </c>
      <c r="C178" s="132" t="s">
        <v>475</v>
      </c>
      <c r="D178" s="315" t="s">
        <v>283</v>
      </c>
      <c r="E178" s="233">
        <v>1</v>
      </c>
      <c r="F178" s="424">
        <f>G178/E178</f>
        <v>8978</v>
      </c>
      <c r="G178" s="388">
        <f>НМЦК!K177</f>
        <v>8978</v>
      </c>
      <c r="H178" s="389" t="s">
        <v>1227</v>
      </c>
      <c r="I178" s="194"/>
      <c r="J178" s="194"/>
    </row>
    <row r="179" spans="1:10" s="390" customFormat="1" ht="63.75" hidden="1" outlineLevel="3" x14ac:dyDescent="0.2">
      <c r="A179" s="191" t="s">
        <v>1106</v>
      </c>
      <c r="B179" s="132" t="s">
        <v>478</v>
      </c>
      <c r="C179" s="132" t="s">
        <v>477</v>
      </c>
      <c r="D179" s="315" t="s">
        <v>283</v>
      </c>
      <c r="E179" s="233">
        <v>1</v>
      </c>
      <c r="F179" s="424">
        <f>G179/E179</f>
        <v>8058</v>
      </c>
      <c r="G179" s="388">
        <f>НМЦК!K178</f>
        <v>8058</v>
      </c>
      <c r="H179" s="389" t="s">
        <v>1228</v>
      </c>
      <c r="I179" s="194"/>
      <c r="J179" s="194"/>
    </row>
    <row r="180" spans="1:10" s="196" customFormat="1" ht="15.75" hidden="1" outlineLevel="2" x14ac:dyDescent="0.2">
      <c r="A180" s="208" t="s">
        <v>1107</v>
      </c>
      <c r="B180" s="93"/>
      <c r="C180" s="93" t="s">
        <v>991</v>
      </c>
      <c r="D180" s="317" t="s">
        <v>283</v>
      </c>
      <c r="E180" s="158">
        <v>1</v>
      </c>
      <c r="F180" s="429">
        <f>G180/E180</f>
        <v>9506204</v>
      </c>
      <c r="G180" s="338">
        <f>НМЦК!K179</f>
        <v>9506204</v>
      </c>
      <c r="H180" s="195"/>
      <c r="I180" s="195"/>
      <c r="J180" s="195"/>
    </row>
    <row r="181" spans="1:10" s="390" customFormat="1" ht="15.75" hidden="1" outlineLevel="3" x14ac:dyDescent="0.2">
      <c r="A181" s="191"/>
      <c r="B181" s="132"/>
      <c r="C181" s="192" t="s">
        <v>1000</v>
      </c>
      <c r="D181" s="314"/>
      <c r="E181" s="233"/>
      <c r="F181" s="424"/>
      <c r="G181" s="388">
        <f>НМЦК!K180</f>
        <v>0</v>
      </c>
      <c r="H181" s="194"/>
      <c r="I181" s="194"/>
      <c r="J181" s="194"/>
    </row>
    <row r="182" spans="1:10" s="390" customFormat="1" ht="15.75" hidden="1" outlineLevel="3" x14ac:dyDescent="0.2">
      <c r="A182" s="191" t="s">
        <v>1108</v>
      </c>
      <c r="B182" s="132" t="s">
        <v>510</v>
      </c>
      <c r="C182" s="132" t="s">
        <v>1001</v>
      </c>
      <c r="D182" s="314" t="s">
        <v>262</v>
      </c>
      <c r="E182" s="315">
        <f>2.41</f>
        <v>2.41</v>
      </c>
      <c r="F182" s="424">
        <f>G182/E182</f>
        <v>34820.75</v>
      </c>
      <c r="G182" s="388">
        <f>НМЦК!K181</f>
        <v>83918</v>
      </c>
      <c r="H182" s="194"/>
      <c r="I182" s="194"/>
      <c r="J182" s="194"/>
    </row>
    <row r="183" spans="1:10" s="390" customFormat="1" ht="25.5" hidden="1" outlineLevel="3" x14ac:dyDescent="0.2">
      <c r="A183" s="191" t="s">
        <v>1109</v>
      </c>
      <c r="B183" s="132" t="s">
        <v>513</v>
      </c>
      <c r="C183" s="132" t="s">
        <v>1002</v>
      </c>
      <c r="D183" s="314" t="s">
        <v>262</v>
      </c>
      <c r="E183" s="315">
        <f>9.91</f>
        <v>9.91</v>
      </c>
      <c r="F183" s="424">
        <f>G183/E183</f>
        <v>14470.64</v>
      </c>
      <c r="G183" s="388">
        <f>НМЦК!K182</f>
        <v>143404</v>
      </c>
      <c r="H183" s="194"/>
      <c r="I183" s="194"/>
      <c r="J183" s="194"/>
    </row>
    <row r="184" spans="1:10" s="390" customFormat="1" ht="15.75" hidden="1" outlineLevel="3" x14ac:dyDescent="0.2">
      <c r="A184" s="191" t="s">
        <v>1110</v>
      </c>
      <c r="B184" s="132" t="s">
        <v>516</v>
      </c>
      <c r="C184" s="132" t="s">
        <v>515</v>
      </c>
      <c r="D184" s="314" t="s">
        <v>271</v>
      </c>
      <c r="E184" s="233">
        <v>82</v>
      </c>
      <c r="F184" s="424">
        <f>G184/E184</f>
        <v>428.59</v>
      </c>
      <c r="G184" s="388">
        <f>НМЦК!K183</f>
        <v>35144</v>
      </c>
      <c r="H184" s="194"/>
      <c r="I184" s="194"/>
      <c r="J184" s="194"/>
    </row>
    <row r="185" spans="1:10" s="390" customFormat="1" ht="15.75" hidden="1" outlineLevel="3" x14ac:dyDescent="0.2">
      <c r="A185" s="191" t="s">
        <v>1111</v>
      </c>
      <c r="B185" s="132" t="s">
        <v>518</v>
      </c>
      <c r="C185" s="132" t="s">
        <v>517</v>
      </c>
      <c r="D185" s="314" t="s">
        <v>250</v>
      </c>
      <c r="E185" s="233">
        <v>1</v>
      </c>
      <c r="F185" s="424">
        <f>G185/E185</f>
        <v>308589</v>
      </c>
      <c r="G185" s="388">
        <f>НМЦК!K184</f>
        <v>308589</v>
      </c>
      <c r="H185" s="194" t="s">
        <v>519</v>
      </c>
      <c r="I185" s="194"/>
      <c r="J185" s="194"/>
    </row>
    <row r="186" spans="1:10" s="390" customFormat="1" ht="15.75" hidden="1" outlineLevel="3" x14ac:dyDescent="0.2">
      <c r="A186" s="191"/>
      <c r="B186" s="132"/>
      <c r="C186" s="192" t="s">
        <v>993</v>
      </c>
      <c r="D186" s="314"/>
      <c r="E186" s="233"/>
      <c r="F186" s="424"/>
      <c r="G186" s="388">
        <f>НМЦК!K185</f>
        <v>0</v>
      </c>
      <c r="H186" s="194"/>
      <c r="I186" s="194"/>
      <c r="J186" s="194"/>
    </row>
    <row r="187" spans="1:10" s="390" customFormat="1" ht="102" hidden="1" outlineLevel="3" x14ac:dyDescent="0.2">
      <c r="A187" s="191" t="s">
        <v>1112</v>
      </c>
      <c r="B187" s="132" t="s">
        <v>522</v>
      </c>
      <c r="C187" s="132" t="s">
        <v>520</v>
      </c>
      <c r="D187" s="314" t="s">
        <v>305</v>
      </c>
      <c r="E187" s="233">
        <v>1</v>
      </c>
      <c r="F187" s="424">
        <f t="shared" ref="F187:F208" si="9">G187/E187</f>
        <v>1239151</v>
      </c>
      <c r="G187" s="388">
        <f>НМЦК!K186</f>
        <v>1239151</v>
      </c>
      <c r="H187" s="389" t="s">
        <v>869</v>
      </c>
      <c r="I187" s="400"/>
      <c r="J187" s="194"/>
    </row>
    <row r="188" spans="1:10" s="390" customFormat="1" ht="102" hidden="1" outlineLevel="3" x14ac:dyDescent="0.2">
      <c r="A188" s="191" t="s">
        <v>1113</v>
      </c>
      <c r="B188" s="132" t="s">
        <v>524</v>
      </c>
      <c r="C188" s="132" t="s">
        <v>523</v>
      </c>
      <c r="D188" s="314" t="s">
        <v>283</v>
      </c>
      <c r="E188" s="233">
        <v>1</v>
      </c>
      <c r="F188" s="424">
        <f t="shared" si="9"/>
        <v>1122125</v>
      </c>
      <c r="G188" s="388">
        <f>НМЦК!K187</f>
        <v>1122125</v>
      </c>
      <c r="H188" s="389" t="s">
        <v>870</v>
      </c>
      <c r="I188" s="194"/>
      <c r="J188" s="194"/>
    </row>
    <row r="189" spans="1:10" s="390" customFormat="1" ht="102" hidden="1" outlineLevel="3" x14ac:dyDescent="0.2">
      <c r="A189" s="191" t="s">
        <v>1114</v>
      </c>
      <c r="B189" s="132" t="s">
        <v>526</v>
      </c>
      <c r="C189" s="132" t="s">
        <v>525</v>
      </c>
      <c r="D189" s="314" t="s">
        <v>283</v>
      </c>
      <c r="E189" s="233">
        <v>1</v>
      </c>
      <c r="F189" s="424">
        <f t="shared" si="9"/>
        <v>884528</v>
      </c>
      <c r="G189" s="388">
        <f>НМЦК!K188</f>
        <v>884528</v>
      </c>
      <c r="H189" s="389" t="s">
        <v>871</v>
      </c>
      <c r="I189" s="194"/>
      <c r="J189" s="194"/>
    </row>
    <row r="190" spans="1:10" s="390" customFormat="1" ht="25.5" hidden="1" outlineLevel="3" x14ac:dyDescent="0.2">
      <c r="A190" s="191" t="s">
        <v>1115</v>
      </c>
      <c r="B190" s="132" t="s">
        <v>527</v>
      </c>
      <c r="C190" s="132" t="s">
        <v>528</v>
      </c>
      <c r="D190" s="314" t="s">
        <v>271</v>
      </c>
      <c r="E190" s="233">
        <v>200</v>
      </c>
      <c r="F190" s="424">
        <f t="shared" si="9"/>
        <v>2578.37</v>
      </c>
      <c r="G190" s="388">
        <f>НМЦК!K189</f>
        <v>515674</v>
      </c>
      <c r="H190" s="194"/>
      <c r="I190" s="194"/>
      <c r="J190" s="194"/>
    </row>
    <row r="191" spans="1:10" s="390" customFormat="1" ht="63.75" hidden="1" outlineLevel="3" x14ac:dyDescent="0.2">
      <c r="A191" s="191" t="s">
        <v>1116</v>
      </c>
      <c r="B191" s="132" t="s">
        <v>530</v>
      </c>
      <c r="C191" s="132" t="s">
        <v>529</v>
      </c>
      <c r="D191" s="314" t="s">
        <v>363</v>
      </c>
      <c r="E191" s="278">
        <f>49.8</f>
        <v>49.8</v>
      </c>
      <c r="F191" s="424">
        <f t="shared" si="9"/>
        <v>2390.48</v>
      </c>
      <c r="G191" s="388">
        <f>НМЦК!K190</f>
        <v>119046</v>
      </c>
      <c r="H191" s="389" t="s">
        <v>790</v>
      </c>
      <c r="I191" s="194"/>
      <c r="J191" s="194"/>
    </row>
    <row r="192" spans="1:10" s="390" customFormat="1" ht="15.75" hidden="1" outlineLevel="3" x14ac:dyDescent="0.2">
      <c r="A192" s="191" t="s">
        <v>1117</v>
      </c>
      <c r="B192" s="132" t="s">
        <v>532</v>
      </c>
      <c r="C192" s="132" t="s">
        <v>531</v>
      </c>
      <c r="D192" s="314" t="s">
        <v>271</v>
      </c>
      <c r="E192" s="233">
        <v>75</v>
      </c>
      <c r="F192" s="424">
        <f t="shared" si="9"/>
        <v>2533.71</v>
      </c>
      <c r="G192" s="388">
        <f>НМЦК!K191</f>
        <v>190028</v>
      </c>
      <c r="H192" s="194"/>
      <c r="I192" s="194"/>
      <c r="J192" s="194"/>
    </row>
    <row r="193" spans="1:10" s="390" customFormat="1" ht="25.5" hidden="1" outlineLevel="3" x14ac:dyDescent="0.2">
      <c r="A193" s="191" t="s">
        <v>1118</v>
      </c>
      <c r="B193" s="132" t="s">
        <v>533</v>
      </c>
      <c r="C193" s="132" t="s">
        <v>534</v>
      </c>
      <c r="D193" s="314" t="s">
        <v>271</v>
      </c>
      <c r="E193" s="278">
        <f>29.3</f>
        <v>29.3</v>
      </c>
      <c r="F193" s="424">
        <f t="shared" si="9"/>
        <v>37743.99</v>
      </c>
      <c r="G193" s="388">
        <f>НМЦК!K192</f>
        <v>1105899</v>
      </c>
      <c r="H193" s="389" t="s">
        <v>535</v>
      </c>
      <c r="I193" s="194"/>
      <c r="J193" s="194"/>
    </row>
    <row r="194" spans="1:10" s="390" customFormat="1" ht="25.5" hidden="1" outlineLevel="3" x14ac:dyDescent="0.2">
      <c r="A194" s="191" t="s">
        <v>1119</v>
      </c>
      <c r="B194" s="132" t="s">
        <v>537</v>
      </c>
      <c r="C194" s="132" t="s">
        <v>536</v>
      </c>
      <c r="D194" s="314" t="s">
        <v>271</v>
      </c>
      <c r="E194" s="233">
        <f>28</f>
        <v>28</v>
      </c>
      <c r="F194" s="424">
        <f t="shared" si="9"/>
        <v>37743.96</v>
      </c>
      <c r="G194" s="388">
        <f>НМЦК!K193</f>
        <v>1056831</v>
      </c>
      <c r="H194" s="389" t="s">
        <v>535</v>
      </c>
      <c r="I194" s="194"/>
      <c r="J194" s="194"/>
    </row>
    <row r="195" spans="1:10" s="390" customFormat="1" ht="15.75" hidden="1" outlineLevel="3" x14ac:dyDescent="0.2">
      <c r="A195" s="191" t="s">
        <v>1120</v>
      </c>
      <c r="B195" s="132" t="s">
        <v>539</v>
      </c>
      <c r="C195" s="132" t="s">
        <v>538</v>
      </c>
      <c r="D195" s="314" t="s">
        <v>250</v>
      </c>
      <c r="E195" s="233">
        <v>1</v>
      </c>
      <c r="F195" s="424">
        <f t="shared" si="9"/>
        <v>168231</v>
      </c>
      <c r="G195" s="388">
        <f>НМЦК!K194</f>
        <v>168231</v>
      </c>
      <c r="H195" s="194"/>
      <c r="I195" s="194"/>
      <c r="J195" s="194"/>
    </row>
    <row r="196" spans="1:10" s="390" customFormat="1" ht="51" hidden="1" outlineLevel="3" x14ac:dyDescent="0.2">
      <c r="A196" s="191" t="s">
        <v>1121</v>
      </c>
      <c r="B196" s="132" t="s">
        <v>540</v>
      </c>
      <c r="C196" s="132" t="s">
        <v>444</v>
      </c>
      <c r="D196" s="314" t="s">
        <v>363</v>
      </c>
      <c r="E196" s="278">
        <f>15.4</f>
        <v>15.4</v>
      </c>
      <c r="F196" s="424">
        <f t="shared" si="9"/>
        <v>4014.87</v>
      </c>
      <c r="G196" s="388">
        <f>НМЦК!K195</f>
        <v>61829</v>
      </c>
      <c r="H196" s="389" t="s">
        <v>872</v>
      </c>
      <c r="I196" s="194"/>
      <c r="J196" s="194"/>
    </row>
    <row r="197" spans="1:10" s="390" customFormat="1" ht="15.75" hidden="1" outlineLevel="3" x14ac:dyDescent="0.2">
      <c r="A197" s="191" t="s">
        <v>1122</v>
      </c>
      <c r="B197" s="132" t="s">
        <v>542</v>
      </c>
      <c r="C197" s="132" t="s">
        <v>541</v>
      </c>
      <c r="D197" s="314" t="s">
        <v>283</v>
      </c>
      <c r="E197" s="233">
        <v>1</v>
      </c>
      <c r="F197" s="424">
        <f t="shared" si="9"/>
        <v>88111</v>
      </c>
      <c r="G197" s="388">
        <f>НМЦК!K196</f>
        <v>88111</v>
      </c>
      <c r="H197" s="194"/>
      <c r="I197" s="194"/>
      <c r="J197" s="194"/>
    </row>
    <row r="198" spans="1:10" s="390" customFormat="1" ht="15.75" hidden="1" outlineLevel="3" x14ac:dyDescent="0.2">
      <c r="A198" s="191" t="s">
        <v>1123</v>
      </c>
      <c r="B198" s="132" t="s">
        <v>544</v>
      </c>
      <c r="C198" s="132" t="s">
        <v>543</v>
      </c>
      <c r="D198" s="314" t="s">
        <v>283</v>
      </c>
      <c r="E198" s="233">
        <v>2</v>
      </c>
      <c r="F198" s="424">
        <f t="shared" si="9"/>
        <v>35532.5</v>
      </c>
      <c r="G198" s="388">
        <f>НМЦК!K197</f>
        <v>71065</v>
      </c>
      <c r="H198" s="194"/>
      <c r="I198" s="194"/>
      <c r="J198" s="194"/>
    </row>
    <row r="199" spans="1:10" s="390" customFormat="1" ht="15.75" hidden="1" outlineLevel="3" x14ac:dyDescent="0.2">
      <c r="A199" s="191" t="s">
        <v>1124</v>
      </c>
      <c r="B199" s="132" t="s">
        <v>545</v>
      </c>
      <c r="C199" s="132" t="s">
        <v>450</v>
      </c>
      <c r="D199" s="314" t="s">
        <v>363</v>
      </c>
      <c r="E199" s="278">
        <f>3.9</f>
        <v>3.9</v>
      </c>
      <c r="F199" s="424">
        <f t="shared" si="9"/>
        <v>643.85</v>
      </c>
      <c r="G199" s="388">
        <f>НМЦК!K198</f>
        <v>2511</v>
      </c>
      <c r="H199" s="194"/>
      <c r="I199" s="194"/>
      <c r="J199" s="194"/>
    </row>
    <row r="200" spans="1:10" s="390" customFormat="1" ht="38.25" hidden="1" outlineLevel="3" x14ac:dyDescent="0.2">
      <c r="A200" s="191" t="s">
        <v>1125</v>
      </c>
      <c r="B200" s="132" t="s">
        <v>547</v>
      </c>
      <c r="C200" s="132" t="s">
        <v>546</v>
      </c>
      <c r="D200" s="314" t="s">
        <v>283</v>
      </c>
      <c r="E200" s="233">
        <v>2</v>
      </c>
      <c r="F200" s="424">
        <f t="shared" si="9"/>
        <v>39344.5</v>
      </c>
      <c r="G200" s="388">
        <f>НМЦК!K199</f>
        <v>78689</v>
      </c>
      <c r="H200" s="194"/>
      <c r="I200" s="194"/>
      <c r="J200" s="194"/>
    </row>
    <row r="201" spans="1:10" s="390" customFormat="1" ht="20.25" hidden="1" customHeight="1" outlineLevel="3" x14ac:dyDescent="0.2">
      <c r="A201" s="191" t="s">
        <v>1126</v>
      </c>
      <c r="B201" s="132" t="s">
        <v>548</v>
      </c>
      <c r="C201" s="132" t="s">
        <v>550</v>
      </c>
      <c r="D201" s="314" t="s">
        <v>283</v>
      </c>
      <c r="E201" s="233">
        <v>1</v>
      </c>
      <c r="F201" s="424">
        <f t="shared" si="9"/>
        <v>27042</v>
      </c>
      <c r="G201" s="388">
        <f>НМЦК!K200</f>
        <v>27042</v>
      </c>
      <c r="H201" s="617" t="s">
        <v>1331</v>
      </c>
      <c r="I201" s="233"/>
      <c r="J201" s="194"/>
    </row>
    <row r="202" spans="1:10" s="390" customFormat="1" ht="25.5" hidden="1" customHeight="1" outlineLevel="3" x14ac:dyDescent="0.2">
      <c r="A202" s="191" t="s">
        <v>1127</v>
      </c>
      <c r="B202" s="132" t="s">
        <v>548</v>
      </c>
      <c r="C202" s="132" t="s">
        <v>549</v>
      </c>
      <c r="D202" s="314" t="s">
        <v>283</v>
      </c>
      <c r="E202" s="233">
        <v>1</v>
      </c>
      <c r="F202" s="424">
        <f t="shared" si="9"/>
        <v>21633</v>
      </c>
      <c r="G202" s="388">
        <f>НМЦК!K201</f>
        <v>21633</v>
      </c>
      <c r="H202" s="618"/>
      <c r="I202" s="233"/>
      <c r="J202" s="194"/>
    </row>
    <row r="203" spans="1:10" s="390" customFormat="1" ht="25.5" hidden="1" outlineLevel="3" x14ac:dyDescent="0.2">
      <c r="A203" s="191" t="s">
        <v>1128</v>
      </c>
      <c r="B203" s="132" t="s">
        <v>552</v>
      </c>
      <c r="C203" s="132" t="s">
        <v>551</v>
      </c>
      <c r="D203" s="314" t="s">
        <v>283</v>
      </c>
      <c r="E203" s="233">
        <v>1</v>
      </c>
      <c r="F203" s="424">
        <f t="shared" si="9"/>
        <v>36474</v>
      </c>
      <c r="G203" s="388">
        <f>НМЦК!K202</f>
        <v>36474</v>
      </c>
      <c r="H203" s="194"/>
      <c r="I203" s="194"/>
      <c r="J203" s="194"/>
    </row>
    <row r="204" spans="1:10" s="390" customFormat="1" ht="38.25" hidden="1" outlineLevel="3" x14ac:dyDescent="0.2">
      <c r="A204" s="191" t="s">
        <v>1129</v>
      </c>
      <c r="B204" s="132" t="s">
        <v>553</v>
      </c>
      <c r="C204" s="132" t="s">
        <v>554</v>
      </c>
      <c r="D204" s="314" t="s">
        <v>283</v>
      </c>
      <c r="E204" s="233">
        <v>1</v>
      </c>
      <c r="F204" s="424">
        <f t="shared" si="9"/>
        <v>100278</v>
      </c>
      <c r="G204" s="388">
        <f>НМЦК!K203</f>
        <v>100278</v>
      </c>
      <c r="H204" s="389" t="s">
        <v>555</v>
      </c>
      <c r="I204" s="194"/>
      <c r="J204" s="194"/>
    </row>
    <row r="205" spans="1:10" s="390" customFormat="1" ht="38.25" hidden="1" outlineLevel="3" x14ac:dyDescent="0.2">
      <c r="A205" s="191" t="s">
        <v>1130</v>
      </c>
      <c r="B205" s="132" t="s">
        <v>560</v>
      </c>
      <c r="C205" s="132" t="s">
        <v>556</v>
      </c>
      <c r="D205" s="314" t="s">
        <v>271</v>
      </c>
      <c r="E205" s="315">
        <f>34.51</f>
        <v>34.51</v>
      </c>
      <c r="F205" s="424">
        <f t="shared" si="9"/>
        <v>2406.98</v>
      </c>
      <c r="G205" s="388">
        <f>НМЦК!K204</f>
        <v>83065</v>
      </c>
      <c r="H205" s="194"/>
      <c r="I205" s="194"/>
      <c r="J205" s="194"/>
    </row>
    <row r="206" spans="1:10" s="390" customFormat="1" ht="25.5" hidden="1" outlineLevel="3" x14ac:dyDescent="0.2">
      <c r="A206" s="191" t="s">
        <v>1131</v>
      </c>
      <c r="B206" s="132" t="s">
        <v>561</v>
      </c>
      <c r="C206" s="132" t="s">
        <v>558</v>
      </c>
      <c r="D206" s="314" t="s">
        <v>271</v>
      </c>
      <c r="E206" s="315">
        <f>20.09</f>
        <v>20.09</v>
      </c>
      <c r="F206" s="424">
        <f t="shared" si="9"/>
        <v>2187.9</v>
      </c>
      <c r="G206" s="388">
        <f>НМЦК!K205</f>
        <v>43955</v>
      </c>
      <c r="H206" s="194"/>
      <c r="I206" s="194"/>
      <c r="J206" s="194"/>
    </row>
    <row r="207" spans="1:10" s="390" customFormat="1" ht="25.5" hidden="1" outlineLevel="3" x14ac:dyDescent="0.2">
      <c r="A207" s="191" t="s">
        <v>1132</v>
      </c>
      <c r="B207" s="132" t="s">
        <v>562</v>
      </c>
      <c r="C207" s="132" t="s">
        <v>557</v>
      </c>
      <c r="D207" s="314" t="s">
        <v>271</v>
      </c>
      <c r="E207" s="315">
        <f>8.61</f>
        <v>8.61</v>
      </c>
      <c r="F207" s="424">
        <f t="shared" si="9"/>
        <v>2061.21</v>
      </c>
      <c r="G207" s="388">
        <f>НМЦК!K206</f>
        <v>17747</v>
      </c>
      <c r="H207" s="194"/>
      <c r="I207" s="194"/>
      <c r="J207" s="194"/>
    </row>
    <row r="208" spans="1:10" s="390" customFormat="1" ht="38.25" hidden="1" outlineLevel="3" x14ac:dyDescent="0.2">
      <c r="A208" s="191" t="s">
        <v>1133</v>
      </c>
      <c r="B208" s="132" t="s">
        <v>563</v>
      </c>
      <c r="C208" s="132" t="s">
        <v>559</v>
      </c>
      <c r="D208" s="314" t="s">
        <v>271</v>
      </c>
      <c r="E208" s="315">
        <f>5.81</f>
        <v>5.81</v>
      </c>
      <c r="F208" s="424">
        <f t="shared" si="9"/>
        <v>1738.38</v>
      </c>
      <c r="G208" s="388">
        <f>НМЦК!K207</f>
        <v>10100</v>
      </c>
      <c r="H208" s="194"/>
      <c r="I208" s="194"/>
      <c r="J208" s="194"/>
    </row>
    <row r="209" spans="1:10" s="390" customFormat="1" ht="15.75" hidden="1" outlineLevel="3" x14ac:dyDescent="0.2">
      <c r="A209" s="191"/>
      <c r="B209" s="132"/>
      <c r="C209" s="192" t="s">
        <v>564</v>
      </c>
      <c r="D209" s="314"/>
      <c r="E209" s="233"/>
      <c r="F209" s="424"/>
      <c r="G209" s="388">
        <f>НМЦК!K208</f>
        <v>0</v>
      </c>
      <c r="H209" s="194"/>
      <c r="I209" s="194"/>
      <c r="J209" s="194"/>
    </row>
    <row r="210" spans="1:10" s="390" customFormat="1" ht="15.75" hidden="1" outlineLevel="3" x14ac:dyDescent="0.2">
      <c r="A210" s="191" t="s">
        <v>1134</v>
      </c>
      <c r="B210" s="132" t="s">
        <v>566</v>
      </c>
      <c r="C210" s="132" t="s">
        <v>565</v>
      </c>
      <c r="D210" s="314" t="s">
        <v>271</v>
      </c>
      <c r="E210" s="315">
        <f>5.81</f>
        <v>5.81</v>
      </c>
      <c r="F210" s="424">
        <f>G210/E210</f>
        <v>1045.6099999999999</v>
      </c>
      <c r="G210" s="388">
        <f>НМЦК!K209</f>
        <v>6075</v>
      </c>
      <c r="H210" s="194"/>
      <c r="I210" s="194"/>
      <c r="J210" s="194"/>
    </row>
    <row r="211" spans="1:10" s="390" customFormat="1" ht="15.75" hidden="1" outlineLevel="3" x14ac:dyDescent="0.2">
      <c r="A211" s="191"/>
      <c r="B211" s="132"/>
      <c r="C211" s="192" t="s">
        <v>568</v>
      </c>
      <c r="D211" s="314"/>
      <c r="E211" s="315"/>
      <c r="F211" s="424"/>
      <c r="G211" s="388">
        <f>НМЦК!K210</f>
        <v>0</v>
      </c>
      <c r="H211" s="194"/>
      <c r="I211" s="194"/>
      <c r="J211" s="194"/>
    </row>
    <row r="212" spans="1:10" s="390" customFormat="1" ht="15.75" hidden="1" outlineLevel="3" x14ac:dyDescent="0.2">
      <c r="A212" s="191" t="s">
        <v>1135</v>
      </c>
      <c r="B212" s="132" t="s">
        <v>570</v>
      </c>
      <c r="C212" s="132" t="s">
        <v>567</v>
      </c>
      <c r="D212" s="314" t="s">
        <v>283</v>
      </c>
      <c r="E212" s="233">
        <v>1</v>
      </c>
      <c r="F212" s="424">
        <f>G212/E212</f>
        <v>10836</v>
      </c>
      <c r="G212" s="388">
        <f>НМЦК!K211</f>
        <v>10836</v>
      </c>
      <c r="H212" s="194"/>
      <c r="I212" s="194"/>
      <c r="J212" s="194"/>
    </row>
    <row r="213" spans="1:10" s="390" customFormat="1" ht="38.25" hidden="1" outlineLevel="3" x14ac:dyDescent="0.2">
      <c r="A213" s="191" t="s">
        <v>1136</v>
      </c>
      <c r="B213" s="132" t="s">
        <v>571</v>
      </c>
      <c r="C213" s="132" t="s">
        <v>569</v>
      </c>
      <c r="D213" s="314" t="s">
        <v>283</v>
      </c>
      <c r="E213" s="233">
        <v>1</v>
      </c>
      <c r="F213" s="424">
        <f>G213/E213</f>
        <v>2769</v>
      </c>
      <c r="G213" s="388">
        <f>НМЦК!K212</f>
        <v>2769</v>
      </c>
      <c r="H213" s="194"/>
      <c r="I213" s="194"/>
      <c r="J213" s="194"/>
    </row>
    <row r="214" spans="1:10" s="390" customFormat="1" ht="38.25" hidden="1" outlineLevel="3" x14ac:dyDescent="0.2">
      <c r="A214" s="191" t="s">
        <v>1137</v>
      </c>
      <c r="B214" s="132" t="s">
        <v>573</v>
      </c>
      <c r="C214" s="132" t="s">
        <v>572</v>
      </c>
      <c r="D214" s="314" t="s">
        <v>271</v>
      </c>
      <c r="E214" s="315">
        <f>108.88</f>
        <v>108.88</v>
      </c>
      <c r="F214" s="424">
        <f>G214/E214</f>
        <v>2168.3000000000002</v>
      </c>
      <c r="G214" s="388">
        <f>НМЦК!K213</f>
        <v>236084</v>
      </c>
      <c r="H214" s="389" t="s">
        <v>577</v>
      </c>
      <c r="I214" s="194"/>
      <c r="J214" s="194"/>
    </row>
    <row r="215" spans="1:10" s="390" customFormat="1" ht="15.75" hidden="1" outlineLevel="3" x14ac:dyDescent="0.2">
      <c r="A215" s="191" t="s">
        <v>1138</v>
      </c>
      <c r="B215" s="132" t="s">
        <v>575</v>
      </c>
      <c r="C215" s="132" t="s">
        <v>574</v>
      </c>
      <c r="D215" s="314" t="s">
        <v>271</v>
      </c>
      <c r="E215" s="233">
        <v>200</v>
      </c>
      <c r="F215" s="424">
        <f>G215/E215</f>
        <v>2536.77</v>
      </c>
      <c r="G215" s="388">
        <f>НМЦК!K214</f>
        <v>507354</v>
      </c>
      <c r="H215" s="194"/>
      <c r="I215" s="194"/>
      <c r="J215" s="194"/>
    </row>
    <row r="216" spans="1:10" s="390" customFormat="1" ht="25.5" hidden="1" outlineLevel="3" x14ac:dyDescent="0.2">
      <c r="A216" s="191" t="s">
        <v>1139</v>
      </c>
      <c r="B216" s="132" t="s">
        <v>576</v>
      </c>
      <c r="C216" s="132" t="s">
        <v>578</v>
      </c>
      <c r="D216" s="314" t="s">
        <v>271</v>
      </c>
      <c r="E216" s="315">
        <f>34.51</f>
        <v>34.51</v>
      </c>
      <c r="F216" s="424">
        <f>G216/E216</f>
        <v>985.89</v>
      </c>
      <c r="G216" s="388">
        <f>НМЦК!K215</f>
        <v>34023</v>
      </c>
      <c r="H216" s="194"/>
      <c r="I216" s="194"/>
      <c r="J216" s="194"/>
    </row>
    <row r="217" spans="1:10" s="390" customFormat="1" ht="15.75" hidden="1" outlineLevel="3" x14ac:dyDescent="0.2">
      <c r="A217" s="191"/>
      <c r="B217" s="132"/>
      <c r="C217" s="192" t="s">
        <v>1006</v>
      </c>
      <c r="D217" s="314"/>
      <c r="E217" s="233"/>
      <c r="F217" s="424"/>
      <c r="G217" s="388">
        <f>НМЦК!K216</f>
        <v>0</v>
      </c>
      <c r="H217" s="194"/>
      <c r="I217" s="194"/>
      <c r="J217" s="194"/>
    </row>
    <row r="218" spans="1:10" s="390" customFormat="1" ht="15.75" hidden="1" outlineLevel="3" x14ac:dyDescent="0.2">
      <c r="A218" s="191" t="s">
        <v>1140</v>
      </c>
      <c r="B218" s="132" t="s">
        <v>582</v>
      </c>
      <c r="C218" s="132" t="s">
        <v>579</v>
      </c>
      <c r="D218" s="314" t="s">
        <v>283</v>
      </c>
      <c r="E218" s="233">
        <v>1</v>
      </c>
      <c r="F218" s="424">
        <f>G218/E218</f>
        <v>4071</v>
      </c>
      <c r="G218" s="388">
        <f>НМЦК!K217</f>
        <v>4071</v>
      </c>
      <c r="H218" s="194"/>
      <c r="I218" s="194"/>
      <c r="J218" s="194"/>
    </row>
    <row r="219" spans="1:10" s="390" customFormat="1" ht="15.75" hidden="1" outlineLevel="3" x14ac:dyDescent="0.2">
      <c r="A219" s="191" t="s">
        <v>1141</v>
      </c>
      <c r="B219" s="132" t="s">
        <v>583</v>
      </c>
      <c r="C219" s="132" t="s">
        <v>461</v>
      </c>
      <c r="D219" s="314" t="s">
        <v>283</v>
      </c>
      <c r="E219" s="233">
        <v>3</v>
      </c>
      <c r="F219" s="424">
        <f>G219/E219</f>
        <v>4417.67</v>
      </c>
      <c r="G219" s="388">
        <f>НМЦК!K218</f>
        <v>13253</v>
      </c>
      <c r="H219" s="194"/>
      <c r="I219" s="194"/>
      <c r="J219" s="194"/>
    </row>
    <row r="220" spans="1:10" s="390" customFormat="1" ht="15.75" hidden="1" outlineLevel="3" x14ac:dyDescent="0.2">
      <c r="A220" s="191" t="s">
        <v>1142</v>
      </c>
      <c r="B220" s="132" t="s">
        <v>584</v>
      </c>
      <c r="C220" s="132" t="s">
        <v>581</v>
      </c>
      <c r="D220" s="314" t="s">
        <v>283</v>
      </c>
      <c r="E220" s="233">
        <v>1</v>
      </c>
      <c r="F220" s="424">
        <f>G220/E220</f>
        <v>5537</v>
      </c>
      <c r="G220" s="388">
        <f>НМЦК!K219</f>
        <v>5537</v>
      </c>
      <c r="H220" s="194"/>
      <c r="I220" s="194"/>
      <c r="J220" s="194"/>
    </row>
    <row r="221" spans="1:10" s="390" customFormat="1" ht="15.75" hidden="1" outlineLevel="3" x14ac:dyDescent="0.2">
      <c r="A221" s="191" t="s">
        <v>1143</v>
      </c>
      <c r="B221" s="132" t="s">
        <v>586</v>
      </c>
      <c r="C221" s="132" t="s">
        <v>585</v>
      </c>
      <c r="D221" s="314" t="s">
        <v>250</v>
      </c>
      <c r="E221" s="233">
        <v>1</v>
      </c>
      <c r="F221" s="424">
        <f>G221/E221</f>
        <v>203065</v>
      </c>
      <c r="G221" s="388">
        <f>НМЦК!K220</f>
        <v>203065</v>
      </c>
      <c r="H221" s="194"/>
      <c r="I221" s="194"/>
      <c r="J221" s="194"/>
    </row>
    <row r="222" spans="1:10" s="390" customFormat="1" ht="15.75" hidden="1" outlineLevel="3" x14ac:dyDescent="0.2">
      <c r="A222" s="191"/>
      <c r="B222" s="132"/>
      <c r="C222" s="192" t="s">
        <v>992</v>
      </c>
      <c r="D222" s="314"/>
      <c r="E222" s="233"/>
      <c r="F222" s="424"/>
      <c r="G222" s="388">
        <f>НМЦК!K221</f>
        <v>0</v>
      </c>
      <c r="H222" s="194"/>
      <c r="I222" s="194"/>
      <c r="J222" s="194"/>
    </row>
    <row r="223" spans="1:10" s="390" customFormat="1" ht="25.5" hidden="1" outlineLevel="3" x14ac:dyDescent="0.2">
      <c r="A223" s="191" t="s">
        <v>1144</v>
      </c>
      <c r="B223" s="132" t="s">
        <v>588</v>
      </c>
      <c r="C223" s="132" t="s">
        <v>463</v>
      </c>
      <c r="D223" s="314" t="s">
        <v>283</v>
      </c>
      <c r="E223" s="233">
        <v>1</v>
      </c>
      <c r="F223" s="424">
        <f>G223/E223</f>
        <v>112756</v>
      </c>
      <c r="G223" s="388">
        <f>НМЦК!K222</f>
        <v>112756</v>
      </c>
      <c r="H223" s="194"/>
      <c r="I223" s="194"/>
      <c r="J223" s="194"/>
    </row>
    <row r="224" spans="1:10" s="390" customFormat="1" ht="25.5" hidden="1" outlineLevel="3" x14ac:dyDescent="0.2">
      <c r="A224" s="191" t="s">
        <v>1145</v>
      </c>
      <c r="B224" s="132" t="s">
        <v>589</v>
      </c>
      <c r="C224" s="132" t="s">
        <v>465</v>
      </c>
      <c r="D224" s="314" t="s">
        <v>283</v>
      </c>
      <c r="E224" s="233">
        <v>1</v>
      </c>
      <c r="F224" s="424">
        <f>G224/E224</f>
        <v>200313</v>
      </c>
      <c r="G224" s="388">
        <f>НМЦК!K223</f>
        <v>200313</v>
      </c>
      <c r="H224" s="194"/>
      <c r="I224" s="194"/>
      <c r="J224" s="194"/>
    </row>
    <row r="225" spans="1:10" s="390" customFormat="1" ht="15.75" hidden="1" outlineLevel="3" x14ac:dyDescent="0.2">
      <c r="A225" s="191" t="s">
        <v>1146</v>
      </c>
      <c r="B225" s="132" t="s">
        <v>591</v>
      </c>
      <c r="C225" s="132" t="s">
        <v>590</v>
      </c>
      <c r="D225" s="314" t="s">
        <v>250</v>
      </c>
      <c r="E225" s="233">
        <v>1</v>
      </c>
      <c r="F225" s="424">
        <f>G225/E225</f>
        <v>57762</v>
      </c>
      <c r="G225" s="388">
        <f>НМЦК!K224</f>
        <v>57762</v>
      </c>
      <c r="H225" s="194"/>
      <c r="I225" s="194"/>
      <c r="J225" s="194"/>
    </row>
    <row r="226" spans="1:10" s="390" customFormat="1" ht="15.75" hidden="1" outlineLevel="3" x14ac:dyDescent="0.2">
      <c r="A226" s="191" t="s">
        <v>1147</v>
      </c>
      <c r="B226" s="132" t="s">
        <v>593</v>
      </c>
      <c r="C226" s="132" t="s">
        <v>592</v>
      </c>
      <c r="D226" s="314" t="s">
        <v>250</v>
      </c>
      <c r="E226" s="233">
        <v>1</v>
      </c>
      <c r="F226" s="424">
        <f>G226/E226</f>
        <v>235231</v>
      </c>
      <c r="G226" s="388">
        <f>НМЦК!K225</f>
        <v>235231</v>
      </c>
      <c r="H226" s="194"/>
      <c r="I226" s="194"/>
      <c r="J226" s="194"/>
    </row>
    <row r="227" spans="1:10" s="390" customFormat="1" ht="15.75" hidden="1" outlineLevel="3" x14ac:dyDescent="0.2">
      <c r="A227" s="191" t="s">
        <v>1148</v>
      </c>
      <c r="B227" s="132" t="s">
        <v>595</v>
      </c>
      <c r="C227" s="132" t="s">
        <v>594</v>
      </c>
      <c r="D227" s="314" t="s">
        <v>250</v>
      </c>
      <c r="E227" s="233">
        <v>1</v>
      </c>
      <c r="F227" s="424">
        <f>G227/E227</f>
        <v>214061</v>
      </c>
      <c r="G227" s="388">
        <f>НМЦК!K226</f>
        <v>214061</v>
      </c>
      <c r="H227" s="194"/>
      <c r="I227" s="194"/>
      <c r="J227" s="194"/>
    </row>
    <row r="228" spans="1:10" s="390" customFormat="1" ht="15.75" hidden="1" outlineLevel="3" x14ac:dyDescent="0.2">
      <c r="A228" s="191"/>
      <c r="B228" s="132"/>
      <c r="C228" s="192" t="s">
        <v>999</v>
      </c>
      <c r="D228" s="314"/>
      <c r="E228" s="233"/>
      <c r="F228" s="424"/>
      <c r="G228" s="388">
        <f>НМЦК!K227</f>
        <v>0</v>
      </c>
      <c r="H228" s="389"/>
      <c r="I228" s="194"/>
      <c r="J228" s="194"/>
    </row>
    <row r="229" spans="1:10" s="390" customFormat="1" ht="63.75" hidden="1" outlineLevel="3" x14ac:dyDescent="0.2">
      <c r="A229" s="191" t="s">
        <v>1149</v>
      </c>
      <c r="B229" s="132" t="s">
        <v>597</v>
      </c>
      <c r="C229" s="132" t="s">
        <v>473</v>
      </c>
      <c r="D229" s="315" t="s">
        <v>283</v>
      </c>
      <c r="E229" s="233">
        <v>1</v>
      </c>
      <c r="F229" s="424">
        <f>G229/E229</f>
        <v>30911</v>
      </c>
      <c r="G229" s="388">
        <f>НМЦК!K228</f>
        <v>30911</v>
      </c>
      <c r="H229" s="389" t="s">
        <v>1226</v>
      </c>
      <c r="I229" s="194"/>
      <c r="J229" s="194"/>
    </row>
    <row r="230" spans="1:10" s="390" customFormat="1" ht="63.75" hidden="1" outlineLevel="3" x14ac:dyDescent="0.2">
      <c r="A230" s="191" t="s">
        <v>1150</v>
      </c>
      <c r="B230" s="132" t="s">
        <v>598</v>
      </c>
      <c r="C230" s="132" t="s">
        <v>475</v>
      </c>
      <c r="D230" s="315" t="s">
        <v>283</v>
      </c>
      <c r="E230" s="233">
        <v>1</v>
      </c>
      <c r="F230" s="424">
        <f>G230/E230</f>
        <v>8978</v>
      </c>
      <c r="G230" s="388">
        <f>НМЦК!K229</f>
        <v>8978</v>
      </c>
      <c r="H230" s="389" t="s">
        <v>1227</v>
      </c>
      <c r="I230" s="194"/>
      <c r="J230" s="194"/>
    </row>
    <row r="231" spans="1:10" s="390" customFormat="1" ht="63.75" hidden="1" outlineLevel="3" x14ac:dyDescent="0.2">
      <c r="A231" s="191" t="s">
        <v>1151</v>
      </c>
      <c r="B231" s="132" t="s">
        <v>599</v>
      </c>
      <c r="C231" s="132" t="s">
        <v>477</v>
      </c>
      <c r="D231" s="315" t="s">
        <v>283</v>
      </c>
      <c r="E231" s="233">
        <v>1</v>
      </c>
      <c r="F231" s="424">
        <f>G231/E231</f>
        <v>8058</v>
      </c>
      <c r="G231" s="388">
        <f>НМЦК!K230</f>
        <v>8058</v>
      </c>
      <c r="H231" s="389" t="s">
        <v>1228</v>
      </c>
      <c r="I231" s="194"/>
      <c r="J231" s="194"/>
    </row>
    <row r="232" spans="1:10" s="362" customFormat="1" ht="15.75" outlineLevel="1" collapsed="1" x14ac:dyDescent="0.2">
      <c r="A232" s="282" t="s">
        <v>920</v>
      </c>
      <c r="B232" s="283"/>
      <c r="C232" s="283" t="s">
        <v>1005</v>
      </c>
      <c r="D232" s="359" t="s">
        <v>250</v>
      </c>
      <c r="E232" s="154">
        <v>1</v>
      </c>
      <c r="F232" s="422">
        <f>G232/E232</f>
        <v>30451655</v>
      </c>
      <c r="G232" s="337">
        <f>НМЦК!K231</f>
        <v>30451655</v>
      </c>
      <c r="H232" s="360"/>
      <c r="I232" s="360"/>
      <c r="J232" s="360"/>
    </row>
    <row r="233" spans="1:10" s="373" customFormat="1" ht="15.75" hidden="1" outlineLevel="2" x14ac:dyDescent="0.2">
      <c r="A233" s="208"/>
      <c r="B233" s="100"/>
      <c r="C233" s="267" t="s">
        <v>1000</v>
      </c>
      <c r="D233" s="157"/>
      <c r="E233" s="277"/>
      <c r="F233" s="423"/>
      <c r="G233" s="339">
        <f>НМЦК!K232</f>
        <v>0</v>
      </c>
      <c r="H233" s="372"/>
      <c r="I233" s="372"/>
      <c r="J233" s="372"/>
    </row>
    <row r="234" spans="1:10" s="373" customFormat="1" ht="15.75" hidden="1" outlineLevel="2" x14ac:dyDescent="0.2">
      <c r="A234" s="208" t="s">
        <v>921</v>
      </c>
      <c r="B234" s="100" t="s">
        <v>627</v>
      </c>
      <c r="C234" s="100" t="s">
        <v>279</v>
      </c>
      <c r="D234" s="157" t="s">
        <v>250</v>
      </c>
      <c r="E234" s="277">
        <v>1</v>
      </c>
      <c r="F234" s="423">
        <f t="shared" ref="F234:F240" si="10">G234/E234</f>
        <v>134343</v>
      </c>
      <c r="G234" s="339">
        <f>НМЦК!K233</f>
        <v>134343</v>
      </c>
      <c r="H234" s="372"/>
      <c r="I234" s="372"/>
      <c r="J234" s="372"/>
    </row>
    <row r="235" spans="1:10" s="373" customFormat="1" ht="15.75" hidden="1" outlineLevel="2" x14ac:dyDescent="0.2">
      <c r="A235" s="208" t="s">
        <v>922</v>
      </c>
      <c r="B235" s="100" t="s">
        <v>629</v>
      </c>
      <c r="C235" s="100" t="s">
        <v>628</v>
      </c>
      <c r="D235" s="157" t="s">
        <v>250</v>
      </c>
      <c r="E235" s="277">
        <v>1</v>
      </c>
      <c r="F235" s="423">
        <f t="shared" si="10"/>
        <v>300498</v>
      </c>
      <c r="G235" s="339">
        <f>НМЦК!K234</f>
        <v>300498</v>
      </c>
      <c r="H235" s="372"/>
      <c r="I235" s="372"/>
      <c r="J235" s="372"/>
    </row>
    <row r="236" spans="1:10" s="373" customFormat="1" ht="15.75" hidden="1" outlineLevel="2" x14ac:dyDescent="0.2">
      <c r="A236" s="208" t="s">
        <v>923</v>
      </c>
      <c r="B236" s="100" t="s">
        <v>631</v>
      </c>
      <c r="C236" s="100" t="s">
        <v>630</v>
      </c>
      <c r="D236" s="157" t="s">
        <v>250</v>
      </c>
      <c r="E236" s="277">
        <v>1</v>
      </c>
      <c r="F236" s="423">
        <f t="shared" si="10"/>
        <v>25949</v>
      </c>
      <c r="G236" s="339">
        <f>НМЦК!K235</f>
        <v>25949</v>
      </c>
      <c r="H236" s="372"/>
      <c r="I236" s="372"/>
      <c r="J236" s="372"/>
    </row>
    <row r="237" spans="1:10" s="373" customFormat="1" ht="15.75" hidden="1" outlineLevel="2" x14ac:dyDescent="0.2">
      <c r="A237" s="208" t="s">
        <v>924</v>
      </c>
      <c r="B237" s="100" t="s">
        <v>632</v>
      </c>
      <c r="C237" s="100" t="s">
        <v>443</v>
      </c>
      <c r="D237" s="157" t="s">
        <v>250</v>
      </c>
      <c r="E237" s="277">
        <v>1</v>
      </c>
      <c r="F237" s="423">
        <f t="shared" si="10"/>
        <v>38399</v>
      </c>
      <c r="G237" s="339">
        <f>НМЦК!K236</f>
        <v>38399</v>
      </c>
      <c r="H237" s="372"/>
      <c r="I237" s="372"/>
      <c r="J237" s="372"/>
    </row>
    <row r="238" spans="1:10" s="373" customFormat="1" ht="15.75" hidden="1" outlineLevel="2" x14ac:dyDescent="0.2">
      <c r="A238" s="208" t="s">
        <v>926</v>
      </c>
      <c r="B238" s="100" t="s">
        <v>634</v>
      </c>
      <c r="C238" s="100" t="s">
        <v>633</v>
      </c>
      <c r="D238" s="157" t="s">
        <v>250</v>
      </c>
      <c r="E238" s="277">
        <v>1</v>
      </c>
      <c r="F238" s="423">
        <f t="shared" si="10"/>
        <v>27982</v>
      </c>
      <c r="G238" s="339">
        <f>НМЦК!K237</f>
        <v>27982</v>
      </c>
      <c r="H238" s="372"/>
      <c r="I238" s="372"/>
      <c r="J238" s="372"/>
    </row>
    <row r="239" spans="1:10" s="373" customFormat="1" ht="15.75" hidden="1" outlineLevel="2" x14ac:dyDescent="0.2">
      <c r="A239" s="208" t="s">
        <v>927</v>
      </c>
      <c r="B239" s="100" t="s">
        <v>636</v>
      </c>
      <c r="C239" s="100" t="s">
        <v>635</v>
      </c>
      <c r="D239" s="157" t="s">
        <v>250</v>
      </c>
      <c r="E239" s="277">
        <v>1</v>
      </c>
      <c r="F239" s="423">
        <f t="shared" si="10"/>
        <v>86948</v>
      </c>
      <c r="G239" s="339">
        <f>НМЦК!K238</f>
        <v>86948</v>
      </c>
      <c r="H239" s="372"/>
      <c r="I239" s="372"/>
      <c r="J239" s="372"/>
    </row>
    <row r="240" spans="1:10" s="373" customFormat="1" ht="15.75" hidden="1" outlineLevel="2" x14ac:dyDescent="0.2">
      <c r="A240" s="208" t="s">
        <v>928</v>
      </c>
      <c r="B240" s="100" t="s">
        <v>638</v>
      </c>
      <c r="C240" s="100" t="s">
        <v>637</v>
      </c>
      <c r="D240" s="157" t="s">
        <v>271</v>
      </c>
      <c r="E240" s="382">
        <f>21.2</f>
        <v>21.2</v>
      </c>
      <c r="F240" s="423">
        <f t="shared" si="10"/>
        <v>1064.8599999999999</v>
      </c>
      <c r="G240" s="339">
        <f>НМЦК!K239</f>
        <v>22575</v>
      </c>
      <c r="H240" s="372"/>
      <c r="I240" s="372"/>
      <c r="J240" s="372"/>
    </row>
    <row r="241" spans="1:10" s="373" customFormat="1" ht="15.75" hidden="1" outlineLevel="2" x14ac:dyDescent="0.2">
      <c r="A241" s="208"/>
      <c r="B241" s="100"/>
      <c r="C241" s="267" t="s">
        <v>992</v>
      </c>
      <c r="D241" s="157"/>
      <c r="E241" s="277"/>
      <c r="F241" s="423"/>
      <c r="G241" s="339">
        <f>НМЦК!K240</f>
        <v>0</v>
      </c>
      <c r="H241" s="372"/>
      <c r="I241" s="372"/>
      <c r="J241" s="372"/>
    </row>
    <row r="242" spans="1:10" s="373" customFormat="1" ht="15.75" hidden="1" outlineLevel="2" x14ac:dyDescent="0.2">
      <c r="A242" s="208" t="s">
        <v>929</v>
      </c>
      <c r="B242" s="100" t="s">
        <v>640</v>
      </c>
      <c r="C242" s="100" t="s">
        <v>639</v>
      </c>
      <c r="D242" s="157" t="s">
        <v>250</v>
      </c>
      <c r="E242" s="277">
        <v>1</v>
      </c>
      <c r="F242" s="423">
        <f>G242/E242</f>
        <v>56431</v>
      </c>
      <c r="G242" s="339">
        <f>НМЦК!K241</f>
        <v>56431</v>
      </c>
      <c r="H242" s="372"/>
      <c r="I242" s="372"/>
      <c r="J242" s="372"/>
    </row>
    <row r="243" spans="1:10" s="373" customFormat="1" ht="25.5" hidden="1" outlineLevel="2" x14ac:dyDescent="0.2">
      <c r="A243" s="208" t="s">
        <v>930</v>
      </c>
      <c r="B243" s="100" t="s">
        <v>642</v>
      </c>
      <c r="C243" s="100" t="s">
        <v>641</v>
      </c>
      <c r="D243" s="157" t="s">
        <v>283</v>
      </c>
      <c r="E243" s="277">
        <v>1</v>
      </c>
      <c r="F243" s="423">
        <f>G243/E243</f>
        <v>29012807</v>
      </c>
      <c r="G243" s="339">
        <f>НМЦК!K242</f>
        <v>29012807</v>
      </c>
      <c r="H243" s="372"/>
      <c r="I243" s="372"/>
      <c r="J243" s="372"/>
    </row>
    <row r="244" spans="1:10" s="373" customFormat="1" ht="15.75" hidden="1" outlineLevel="2" x14ac:dyDescent="0.2">
      <c r="A244" s="208"/>
      <c r="B244" s="100"/>
      <c r="C244" s="267" t="s">
        <v>142</v>
      </c>
      <c r="D244" s="157"/>
      <c r="E244" s="277"/>
      <c r="F244" s="423"/>
      <c r="G244" s="339">
        <f>НМЦК!K243</f>
        <v>0</v>
      </c>
      <c r="H244" s="375" t="s">
        <v>362</v>
      </c>
      <c r="I244" s="372"/>
      <c r="J244" s="372"/>
    </row>
    <row r="245" spans="1:10" s="373" customFormat="1" ht="15.75" hidden="1" outlineLevel="2" x14ac:dyDescent="0.2">
      <c r="A245" s="208"/>
      <c r="B245" s="100"/>
      <c r="C245" s="267" t="s">
        <v>279</v>
      </c>
      <c r="D245" s="157"/>
      <c r="E245" s="277"/>
      <c r="F245" s="423"/>
      <c r="G245" s="339">
        <f>НМЦК!K244</f>
        <v>0</v>
      </c>
      <c r="H245" s="372"/>
      <c r="I245" s="372"/>
      <c r="J245" s="372"/>
    </row>
    <row r="246" spans="1:10" s="373" customFormat="1" ht="25.5" hidden="1" outlineLevel="2" x14ac:dyDescent="0.2">
      <c r="A246" s="208" t="s">
        <v>931</v>
      </c>
      <c r="B246" s="100" t="s">
        <v>353</v>
      </c>
      <c r="C246" s="100" t="s">
        <v>265</v>
      </c>
      <c r="D246" s="157" t="s">
        <v>262</v>
      </c>
      <c r="E246" s="277">
        <v>88</v>
      </c>
      <c r="F246" s="423">
        <f t="shared" ref="F246:F251" si="11">G246/E246</f>
        <v>1655.09</v>
      </c>
      <c r="G246" s="339">
        <f>НМЦК!K245</f>
        <v>145648</v>
      </c>
      <c r="H246" s="372"/>
      <c r="I246" s="372"/>
      <c r="J246" s="372"/>
    </row>
    <row r="247" spans="1:10" s="373" customFormat="1" ht="15.75" hidden="1" outlineLevel="2" x14ac:dyDescent="0.2">
      <c r="A247" s="208" t="s">
        <v>1152</v>
      </c>
      <c r="B247" s="100" t="s">
        <v>355</v>
      </c>
      <c r="C247" s="100" t="s">
        <v>1224</v>
      </c>
      <c r="D247" s="157" t="s">
        <v>262</v>
      </c>
      <c r="E247" s="382">
        <f>61.6</f>
        <v>61.6</v>
      </c>
      <c r="F247" s="423">
        <f t="shared" si="11"/>
        <v>256.19</v>
      </c>
      <c r="G247" s="339">
        <f>НМЦК!K246</f>
        <v>15781</v>
      </c>
      <c r="H247" s="372"/>
      <c r="I247" s="372"/>
      <c r="J247" s="372"/>
    </row>
    <row r="248" spans="1:10" s="373" customFormat="1" ht="15.75" hidden="1" outlineLevel="2" x14ac:dyDescent="0.2">
      <c r="A248" s="208" t="s">
        <v>1153</v>
      </c>
      <c r="B248" s="100" t="s">
        <v>356</v>
      </c>
      <c r="C248" s="100" t="s">
        <v>500</v>
      </c>
      <c r="D248" s="157" t="s">
        <v>262</v>
      </c>
      <c r="E248" s="382">
        <f>26.4</f>
        <v>26.4</v>
      </c>
      <c r="F248" s="423">
        <f t="shared" si="11"/>
        <v>140.08000000000001</v>
      </c>
      <c r="G248" s="339">
        <f>НМЦК!K247</f>
        <v>3698</v>
      </c>
      <c r="H248" s="372"/>
      <c r="I248" s="372"/>
      <c r="J248" s="372"/>
    </row>
    <row r="249" spans="1:10" s="373" customFormat="1" ht="15.75" hidden="1" outlineLevel="2" x14ac:dyDescent="0.2">
      <c r="A249" s="208" t="s">
        <v>1154</v>
      </c>
      <c r="B249" s="100" t="s">
        <v>357</v>
      </c>
      <c r="C249" s="100" t="s">
        <v>343</v>
      </c>
      <c r="D249" s="157" t="s">
        <v>262</v>
      </c>
      <c r="E249" s="382">
        <f>26.4</f>
        <v>26.4</v>
      </c>
      <c r="F249" s="423">
        <f t="shared" si="11"/>
        <v>134.72999999999999</v>
      </c>
      <c r="G249" s="339">
        <f>НМЦК!K248</f>
        <v>3557</v>
      </c>
      <c r="H249" s="372"/>
      <c r="I249" s="372"/>
      <c r="J249" s="372"/>
    </row>
    <row r="250" spans="1:10" s="373" customFormat="1" ht="25.5" hidden="1" outlineLevel="2" x14ac:dyDescent="0.2">
      <c r="A250" s="208" t="s">
        <v>1155</v>
      </c>
      <c r="B250" s="100" t="s">
        <v>360</v>
      </c>
      <c r="C250" s="100" t="s">
        <v>358</v>
      </c>
      <c r="D250" s="157" t="s">
        <v>363</v>
      </c>
      <c r="E250" s="277">
        <v>27</v>
      </c>
      <c r="F250" s="423">
        <f t="shared" si="11"/>
        <v>985.63</v>
      </c>
      <c r="G250" s="339">
        <f>НМЦК!K249</f>
        <v>26612</v>
      </c>
      <c r="H250" s="372"/>
      <c r="I250" s="372"/>
      <c r="J250" s="372"/>
    </row>
    <row r="251" spans="1:10" s="373" customFormat="1" ht="25.5" hidden="1" outlineLevel="2" x14ac:dyDescent="0.2">
      <c r="A251" s="208" t="s">
        <v>1156</v>
      </c>
      <c r="B251" s="100" t="s">
        <v>361</v>
      </c>
      <c r="C251" s="100" t="s">
        <v>359</v>
      </c>
      <c r="D251" s="157" t="s">
        <v>363</v>
      </c>
      <c r="E251" s="277">
        <v>36</v>
      </c>
      <c r="F251" s="423">
        <f t="shared" si="11"/>
        <v>1159.75</v>
      </c>
      <c r="G251" s="339">
        <f>НМЦК!K250</f>
        <v>41751</v>
      </c>
      <c r="H251" s="372"/>
      <c r="I251" s="372"/>
      <c r="J251" s="372"/>
    </row>
    <row r="252" spans="1:10" s="373" customFormat="1" ht="15.75" hidden="1" outlineLevel="2" x14ac:dyDescent="0.2">
      <c r="A252" s="208"/>
      <c r="B252" s="100"/>
      <c r="C252" s="267" t="s">
        <v>364</v>
      </c>
      <c r="D252" s="157"/>
      <c r="E252" s="277"/>
      <c r="F252" s="423"/>
      <c r="G252" s="339">
        <f>НМЦК!K251</f>
        <v>0</v>
      </c>
      <c r="H252" s="372"/>
      <c r="I252" s="372"/>
      <c r="J252" s="372"/>
    </row>
    <row r="253" spans="1:10" s="373" customFormat="1" ht="25.5" hidden="1" outlineLevel="2" x14ac:dyDescent="0.2">
      <c r="A253" s="208" t="s">
        <v>1157</v>
      </c>
      <c r="B253" s="100" t="s">
        <v>365</v>
      </c>
      <c r="C253" s="100" t="s">
        <v>764</v>
      </c>
      <c r="D253" s="157" t="s">
        <v>363</v>
      </c>
      <c r="E253" s="277">
        <v>60</v>
      </c>
      <c r="F253" s="423">
        <f>G253/E253</f>
        <v>4472.22</v>
      </c>
      <c r="G253" s="339">
        <f>НМЦК!K252</f>
        <v>268333</v>
      </c>
      <c r="H253" s="372"/>
      <c r="I253" s="372"/>
      <c r="J253" s="372"/>
    </row>
    <row r="254" spans="1:10" s="373" customFormat="1" ht="25.5" hidden="1" outlineLevel="2" x14ac:dyDescent="0.2">
      <c r="A254" s="208" t="s">
        <v>1158</v>
      </c>
      <c r="B254" s="100" t="s">
        <v>366</v>
      </c>
      <c r="C254" s="100" t="s">
        <v>765</v>
      </c>
      <c r="D254" s="157" t="s">
        <v>363</v>
      </c>
      <c r="E254" s="277">
        <v>100</v>
      </c>
      <c r="F254" s="423">
        <f>G254/E254</f>
        <v>1520.65</v>
      </c>
      <c r="G254" s="339">
        <f>НМЦК!K253</f>
        <v>152065</v>
      </c>
      <c r="H254" s="372"/>
      <c r="I254" s="372"/>
      <c r="J254" s="372"/>
    </row>
    <row r="255" spans="1:10" s="373" customFormat="1" ht="25.5" hidden="1" outlineLevel="2" x14ac:dyDescent="0.2">
      <c r="A255" s="208" t="s">
        <v>1159</v>
      </c>
      <c r="B255" s="100" t="s">
        <v>368</v>
      </c>
      <c r="C255" s="100" t="s">
        <v>367</v>
      </c>
      <c r="D255" s="157" t="s">
        <v>363</v>
      </c>
      <c r="E255" s="277">
        <v>220</v>
      </c>
      <c r="F255" s="423">
        <f>G255/E255</f>
        <v>401.26</v>
      </c>
      <c r="G255" s="339">
        <f>НМЦК!K254</f>
        <v>88278</v>
      </c>
      <c r="H255" s="372"/>
      <c r="I255" s="372"/>
      <c r="J255" s="372"/>
    </row>
    <row r="256" spans="1:10" s="362" customFormat="1" ht="15.75" outlineLevel="1" collapsed="1" x14ac:dyDescent="0.2">
      <c r="A256" s="282" t="s">
        <v>932</v>
      </c>
      <c r="B256" s="283"/>
      <c r="C256" s="283" t="s">
        <v>985</v>
      </c>
      <c r="D256" s="359" t="s">
        <v>250</v>
      </c>
      <c r="E256" s="154">
        <v>1</v>
      </c>
      <c r="F256" s="422">
        <f>G256/E256</f>
        <v>3057947</v>
      </c>
      <c r="G256" s="337">
        <f>НМЦК!K255</f>
        <v>3057947</v>
      </c>
      <c r="H256" s="360"/>
      <c r="I256" s="360"/>
      <c r="J256" s="360"/>
    </row>
    <row r="257" spans="1:10" s="373" customFormat="1" ht="15.75" hidden="1" outlineLevel="2" x14ac:dyDescent="0.2">
      <c r="A257" s="208"/>
      <c r="B257" s="100"/>
      <c r="C257" s="267" t="s">
        <v>1003</v>
      </c>
      <c r="D257" s="157"/>
      <c r="E257" s="277"/>
      <c r="F257" s="423"/>
      <c r="G257" s="339">
        <f>НМЦК!K256</f>
        <v>0</v>
      </c>
      <c r="H257" s="372"/>
      <c r="I257" s="372"/>
      <c r="J257" s="372"/>
    </row>
    <row r="258" spans="1:10" s="373" customFormat="1" ht="15.75" hidden="1" outlineLevel="2" x14ac:dyDescent="0.2">
      <c r="A258" s="208"/>
      <c r="B258" s="100"/>
      <c r="C258" s="267" t="s">
        <v>279</v>
      </c>
      <c r="D258" s="157"/>
      <c r="E258" s="277"/>
      <c r="F258" s="423"/>
      <c r="G258" s="339">
        <f>НМЦК!K257</f>
        <v>0</v>
      </c>
      <c r="H258" s="372"/>
      <c r="I258" s="372"/>
      <c r="J258" s="372"/>
    </row>
    <row r="259" spans="1:10" s="373" customFormat="1" ht="25.5" hidden="1" outlineLevel="2" x14ac:dyDescent="0.2">
      <c r="A259" s="208" t="s">
        <v>933</v>
      </c>
      <c r="B259" s="100" t="s">
        <v>643</v>
      </c>
      <c r="C259" s="100" t="s">
        <v>265</v>
      </c>
      <c r="D259" s="157" t="s">
        <v>262</v>
      </c>
      <c r="E259" s="157">
        <f>79.93</f>
        <v>79.930000000000007</v>
      </c>
      <c r="F259" s="423">
        <f>G259/E259</f>
        <v>1668.1</v>
      </c>
      <c r="G259" s="339">
        <f>НМЦК!K258</f>
        <v>133331</v>
      </c>
      <c r="H259" s="375" t="s">
        <v>647</v>
      </c>
      <c r="I259" s="372"/>
      <c r="J259" s="372"/>
    </row>
    <row r="260" spans="1:10" s="373" customFormat="1" ht="63.75" hidden="1" outlineLevel="2" x14ac:dyDescent="0.2">
      <c r="A260" s="208" t="s">
        <v>934</v>
      </c>
      <c r="B260" s="100" t="s">
        <v>645</v>
      </c>
      <c r="C260" s="100" t="s">
        <v>644</v>
      </c>
      <c r="D260" s="157" t="s">
        <v>262</v>
      </c>
      <c r="E260" s="157">
        <f>51.73+25.2</f>
        <v>76.930000000000007</v>
      </c>
      <c r="F260" s="423">
        <f>G260/E260</f>
        <v>653.04999999999995</v>
      </c>
      <c r="G260" s="339">
        <f>НМЦК!K259</f>
        <v>50239</v>
      </c>
      <c r="H260" s="375" t="s">
        <v>646</v>
      </c>
      <c r="I260" s="372"/>
      <c r="J260" s="372"/>
    </row>
    <row r="261" spans="1:10" s="373" customFormat="1" ht="15.75" hidden="1" outlineLevel="2" x14ac:dyDescent="0.2">
      <c r="A261" s="208" t="s">
        <v>935</v>
      </c>
      <c r="B261" s="100" t="s">
        <v>648</v>
      </c>
      <c r="C261" s="100" t="s">
        <v>343</v>
      </c>
      <c r="D261" s="157" t="s">
        <v>262</v>
      </c>
      <c r="E261" s="157">
        <f>51.73</f>
        <v>51.73</v>
      </c>
      <c r="F261" s="423">
        <f>G261/E261</f>
        <v>113.24</v>
      </c>
      <c r="G261" s="339">
        <f>НМЦК!K260</f>
        <v>5858</v>
      </c>
      <c r="H261" s="401"/>
      <c r="I261" s="372"/>
      <c r="J261" s="372"/>
    </row>
    <row r="262" spans="1:10" s="373" customFormat="1" ht="25.5" hidden="1" outlineLevel="2" x14ac:dyDescent="0.2">
      <c r="A262" s="208" t="s">
        <v>936</v>
      </c>
      <c r="B262" s="100" t="s">
        <v>651</v>
      </c>
      <c r="C262" s="100" t="s">
        <v>649</v>
      </c>
      <c r="D262" s="157" t="s">
        <v>363</v>
      </c>
      <c r="E262" s="277">
        <v>210</v>
      </c>
      <c r="F262" s="423">
        <f>G262/E262</f>
        <v>4138.59</v>
      </c>
      <c r="G262" s="339">
        <f>НМЦК!K261</f>
        <v>869103</v>
      </c>
      <c r="H262" s="375" t="s">
        <v>650</v>
      </c>
      <c r="I262" s="372"/>
      <c r="J262" s="372"/>
    </row>
    <row r="263" spans="1:10" s="373" customFormat="1" ht="15.75" hidden="1" outlineLevel="2" x14ac:dyDescent="0.2">
      <c r="A263" s="208" t="s">
        <v>937</v>
      </c>
      <c r="B263" s="100" t="s">
        <v>652</v>
      </c>
      <c r="C263" s="100" t="s">
        <v>364</v>
      </c>
      <c r="D263" s="157" t="s">
        <v>250</v>
      </c>
      <c r="E263" s="277">
        <v>1</v>
      </c>
      <c r="F263" s="423">
        <f>G263/E263</f>
        <v>970029</v>
      </c>
      <c r="G263" s="339">
        <f>НМЦК!K262</f>
        <v>970029</v>
      </c>
      <c r="H263" s="372"/>
      <c r="I263" s="372"/>
      <c r="J263" s="372"/>
    </row>
    <row r="264" spans="1:10" s="373" customFormat="1" ht="15.75" hidden="1" outlineLevel="2" x14ac:dyDescent="0.2">
      <c r="A264" s="208"/>
      <c r="B264" s="100"/>
      <c r="C264" s="267" t="s">
        <v>1004</v>
      </c>
      <c r="D264" s="157"/>
      <c r="E264" s="277"/>
      <c r="F264" s="423"/>
      <c r="G264" s="339">
        <f>НМЦК!K263</f>
        <v>0</v>
      </c>
      <c r="H264" s="372"/>
      <c r="I264" s="372"/>
      <c r="J264" s="372"/>
    </row>
    <row r="265" spans="1:10" s="373" customFormat="1" ht="15.75" hidden="1" outlineLevel="2" x14ac:dyDescent="0.2">
      <c r="A265" s="208"/>
      <c r="B265" s="100"/>
      <c r="C265" s="267" t="s">
        <v>279</v>
      </c>
      <c r="D265" s="157"/>
      <c r="E265" s="277"/>
      <c r="F265" s="423"/>
      <c r="G265" s="339">
        <f>НМЦК!K264</f>
        <v>0</v>
      </c>
      <c r="H265" s="372"/>
      <c r="I265" s="372"/>
      <c r="J265" s="372"/>
    </row>
    <row r="266" spans="1:10" s="373" customFormat="1" ht="25.5" hidden="1" outlineLevel="2" x14ac:dyDescent="0.2">
      <c r="A266" s="208" t="s">
        <v>938</v>
      </c>
      <c r="B266" s="100" t="s">
        <v>653</v>
      </c>
      <c r="C266" s="100" t="s">
        <v>265</v>
      </c>
      <c r="D266" s="157" t="s">
        <v>262</v>
      </c>
      <c r="E266" s="157">
        <f>47.26</f>
        <v>47.26</v>
      </c>
      <c r="F266" s="423">
        <f t="shared" ref="F266:F297" si="12">G266/E266</f>
        <v>1668.94</v>
      </c>
      <c r="G266" s="339">
        <f>НМЦК!K265</f>
        <v>78874</v>
      </c>
      <c r="H266" s="372"/>
      <c r="I266" s="372"/>
      <c r="J266" s="372"/>
    </row>
    <row r="267" spans="1:10" s="373" customFormat="1" ht="63.75" hidden="1" outlineLevel="2" x14ac:dyDescent="0.2">
      <c r="A267" s="208" t="s">
        <v>939</v>
      </c>
      <c r="B267" s="100" t="s">
        <v>655</v>
      </c>
      <c r="C267" s="100" t="s">
        <v>654</v>
      </c>
      <c r="D267" s="157" t="s">
        <v>262</v>
      </c>
      <c r="E267" s="157">
        <f>31.78+15.48</f>
        <v>47.26</v>
      </c>
      <c r="F267" s="423">
        <f t="shared" si="12"/>
        <v>653.32000000000005</v>
      </c>
      <c r="G267" s="339">
        <f>НМЦК!K266</f>
        <v>30876</v>
      </c>
      <c r="H267" s="375" t="s">
        <v>646</v>
      </c>
      <c r="I267" s="372"/>
      <c r="J267" s="372"/>
    </row>
    <row r="268" spans="1:10" s="373" customFormat="1" ht="15.75" hidden="1" outlineLevel="2" x14ac:dyDescent="0.2">
      <c r="A268" s="208" t="s">
        <v>940</v>
      </c>
      <c r="B268" s="100" t="s">
        <v>656</v>
      </c>
      <c r="C268" s="100" t="s">
        <v>343</v>
      </c>
      <c r="D268" s="157" t="s">
        <v>262</v>
      </c>
      <c r="E268" s="157">
        <f>31.78</f>
        <v>31.78</v>
      </c>
      <c r="F268" s="423">
        <f t="shared" si="12"/>
        <v>112.96</v>
      </c>
      <c r="G268" s="339">
        <f>НМЦК!K267</f>
        <v>3590</v>
      </c>
      <c r="H268" s="372"/>
      <c r="I268" s="372"/>
      <c r="J268" s="372"/>
    </row>
    <row r="269" spans="1:10" s="373" customFormat="1" ht="63.75" hidden="1" outlineLevel="2" x14ac:dyDescent="0.2">
      <c r="A269" s="208" t="s">
        <v>941</v>
      </c>
      <c r="B269" s="100" t="s">
        <v>658</v>
      </c>
      <c r="C269" s="100" t="s">
        <v>657</v>
      </c>
      <c r="D269" s="157" t="s">
        <v>363</v>
      </c>
      <c r="E269" s="277">
        <v>258</v>
      </c>
      <c r="F269" s="423">
        <f t="shared" si="12"/>
        <v>1999.6</v>
      </c>
      <c r="G269" s="339">
        <f>НМЦК!K268</f>
        <v>515898</v>
      </c>
      <c r="H269" s="375" t="s">
        <v>1332</v>
      </c>
      <c r="I269" s="372"/>
      <c r="J269" s="372"/>
    </row>
    <row r="270" spans="1:10" s="373" customFormat="1" ht="15.75" hidden="1" outlineLevel="2" x14ac:dyDescent="0.2">
      <c r="A270" s="208" t="s">
        <v>942</v>
      </c>
      <c r="B270" s="100" t="s">
        <v>659</v>
      </c>
      <c r="C270" s="100" t="s">
        <v>364</v>
      </c>
      <c r="D270" s="157" t="s">
        <v>250</v>
      </c>
      <c r="E270" s="277">
        <v>1</v>
      </c>
      <c r="F270" s="423">
        <f t="shared" si="12"/>
        <v>400149</v>
      </c>
      <c r="G270" s="339">
        <f>НМЦК!K269</f>
        <v>400149</v>
      </c>
      <c r="H270" s="372"/>
      <c r="I270" s="372"/>
      <c r="J270" s="372"/>
    </row>
    <row r="271" spans="1:10" s="362" customFormat="1" ht="15.75" outlineLevel="1" collapsed="1" x14ac:dyDescent="0.2">
      <c r="A271" s="282" t="s">
        <v>944</v>
      </c>
      <c r="B271" s="283" t="s">
        <v>40</v>
      </c>
      <c r="C271" s="283" t="s">
        <v>102</v>
      </c>
      <c r="D271" s="359" t="s">
        <v>250</v>
      </c>
      <c r="E271" s="154">
        <v>1</v>
      </c>
      <c r="F271" s="422">
        <f t="shared" si="12"/>
        <v>456343</v>
      </c>
      <c r="G271" s="337">
        <f>НМЦК!K270</f>
        <v>456343</v>
      </c>
      <c r="H271" s="360"/>
      <c r="I271" s="360"/>
      <c r="J271" s="360"/>
    </row>
    <row r="272" spans="1:10" s="362" customFormat="1" ht="15.75" outlineLevel="1" x14ac:dyDescent="0.2">
      <c r="A272" s="282" t="s">
        <v>945</v>
      </c>
      <c r="B272" s="283"/>
      <c r="C272" s="283" t="s">
        <v>986</v>
      </c>
      <c r="D272" s="359" t="s">
        <v>250</v>
      </c>
      <c r="E272" s="154">
        <v>1</v>
      </c>
      <c r="F272" s="422">
        <f t="shared" si="12"/>
        <v>1317505</v>
      </c>
      <c r="G272" s="337">
        <f>НМЦК!K271</f>
        <v>1317505</v>
      </c>
      <c r="H272" s="360"/>
      <c r="I272" s="360"/>
      <c r="J272" s="360"/>
    </row>
    <row r="273" spans="1:10" s="373" customFormat="1" ht="15.75" hidden="1" outlineLevel="2" x14ac:dyDescent="0.2">
      <c r="A273" s="208" t="s">
        <v>1160</v>
      </c>
      <c r="B273" s="100" t="s">
        <v>370</v>
      </c>
      <c r="C273" s="100" t="s">
        <v>369</v>
      </c>
      <c r="D273" s="157" t="s">
        <v>305</v>
      </c>
      <c r="E273" s="277">
        <v>4</v>
      </c>
      <c r="F273" s="423">
        <f t="shared" si="12"/>
        <v>47615.25</v>
      </c>
      <c r="G273" s="339">
        <f>НМЦК!K272</f>
        <v>190461</v>
      </c>
      <c r="H273" s="372"/>
      <c r="I273" s="372"/>
      <c r="J273" s="372"/>
    </row>
    <row r="274" spans="1:10" s="373" customFormat="1" ht="25.5" hidden="1" outlineLevel="2" x14ac:dyDescent="0.2">
      <c r="A274" s="208" t="s">
        <v>1161</v>
      </c>
      <c r="B274" s="100" t="s">
        <v>372</v>
      </c>
      <c r="C274" s="100" t="s">
        <v>371</v>
      </c>
      <c r="D274" s="157" t="s">
        <v>305</v>
      </c>
      <c r="E274" s="277">
        <v>8</v>
      </c>
      <c r="F274" s="423">
        <f t="shared" si="12"/>
        <v>21671.63</v>
      </c>
      <c r="G274" s="339">
        <f>НМЦК!K273</f>
        <v>173373</v>
      </c>
      <c r="H274" s="372"/>
      <c r="I274" s="372"/>
      <c r="J274" s="372"/>
    </row>
    <row r="275" spans="1:10" s="373" customFormat="1" ht="15.75" hidden="1" outlineLevel="2" x14ac:dyDescent="0.2">
      <c r="A275" s="208" t="s">
        <v>1162</v>
      </c>
      <c r="B275" s="100" t="s">
        <v>374</v>
      </c>
      <c r="C275" s="100" t="s">
        <v>373</v>
      </c>
      <c r="D275" s="157" t="s">
        <v>305</v>
      </c>
      <c r="E275" s="277">
        <v>4</v>
      </c>
      <c r="F275" s="423">
        <f t="shared" si="12"/>
        <v>754</v>
      </c>
      <c r="G275" s="339">
        <f>НМЦК!K274</f>
        <v>3016</v>
      </c>
      <c r="H275" s="372"/>
      <c r="I275" s="372"/>
      <c r="J275" s="372"/>
    </row>
    <row r="276" spans="1:10" s="373" customFormat="1" ht="25.5" hidden="1" outlineLevel="2" x14ac:dyDescent="0.2">
      <c r="A276" s="208" t="s">
        <v>1163</v>
      </c>
      <c r="B276" s="100" t="s">
        <v>376</v>
      </c>
      <c r="C276" s="100" t="s">
        <v>375</v>
      </c>
      <c r="D276" s="157" t="s">
        <v>305</v>
      </c>
      <c r="E276" s="277">
        <v>4</v>
      </c>
      <c r="F276" s="423">
        <f t="shared" si="12"/>
        <v>4572.75</v>
      </c>
      <c r="G276" s="339">
        <f>НМЦК!K275</f>
        <v>18291</v>
      </c>
      <c r="H276" s="372"/>
      <c r="I276" s="372"/>
      <c r="J276" s="372"/>
    </row>
    <row r="277" spans="1:10" s="373" customFormat="1" ht="25.5" hidden="1" outlineLevel="2" x14ac:dyDescent="0.2">
      <c r="A277" s="208" t="s">
        <v>1164</v>
      </c>
      <c r="B277" s="100" t="s">
        <v>378</v>
      </c>
      <c r="C277" s="100" t="s">
        <v>377</v>
      </c>
      <c r="D277" s="157" t="s">
        <v>305</v>
      </c>
      <c r="E277" s="277">
        <v>4</v>
      </c>
      <c r="F277" s="423">
        <f t="shared" si="12"/>
        <v>2243</v>
      </c>
      <c r="G277" s="339">
        <f>НМЦК!K276</f>
        <v>8972</v>
      </c>
      <c r="H277" s="372"/>
      <c r="I277" s="372"/>
      <c r="J277" s="372"/>
    </row>
    <row r="278" spans="1:10" s="373" customFormat="1" ht="25.5" hidden="1" outlineLevel="2" x14ac:dyDescent="0.2">
      <c r="A278" s="208" t="s">
        <v>1165</v>
      </c>
      <c r="B278" s="100" t="s">
        <v>380</v>
      </c>
      <c r="C278" s="100" t="s">
        <v>379</v>
      </c>
      <c r="D278" s="157" t="s">
        <v>305</v>
      </c>
      <c r="E278" s="277">
        <v>8</v>
      </c>
      <c r="F278" s="423">
        <f t="shared" si="12"/>
        <v>10326.629999999999</v>
      </c>
      <c r="G278" s="339">
        <f>НМЦК!K277</f>
        <v>82613</v>
      </c>
      <c r="H278" s="372"/>
      <c r="I278" s="372"/>
      <c r="J278" s="372"/>
    </row>
    <row r="279" spans="1:10" s="373" customFormat="1" ht="25.5" hidden="1" outlineLevel="2" x14ac:dyDescent="0.2">
      <c r="A279" s="208" t="s">
        <v>1166</v>
      </c>
      <c r="B279" s="100" t="s">
        <v>382</v>
      </c>
      <c r="C279" s="100" t="s">
        <v>381</v>
      </c>
      <c r="D279" s="157" t="s">
        <v>305</v>
      </c>
      <c r="E279" s="277">
        <v>12</v>
      </c>
      <c r="F279" s="423">
        <f t="shared" si="12"/>
        <v>24216.5</v>
      </c>
      <c r="G279" s="339">
        <f>НМЦК!K278</f>
        <v>290598</v>
      </c>
      <c r="H279" s="372"/>
      <c r="I279" s="372"/>
      <c r="J279" s="372"/>
    </row>
    <row r="280" spans="1:10" s="373" customFormat="1" ht="15.75" hidden="1" outlineLevel="2" x14ac:dyDescent="0.2">
      <c r="A280" s="208" t="s">
        <v>1167</v>
      </c>
      <c r="B280" s="100" t="s">
        <v>386</v>
      </c>
      <c r="C280" s="100" t="s">
        <v>383</v>
      </c>
      <c r="D280" s="157" t="s">
        <v>305</v>
      </c>
      <c r="E280" s="277">
        <v>4</v>
      </c>
      <c r="F280" s="423">
        <f t="shared" si="12"/>
        <v>6934.75</v>
      </c>
      <c r="G280" s="339">
        <f>НМЦК!K279</f>
        <v>27739</v>
      </c>
      <c r="H280" s="372"/>
      <c r="I280" s="372"/>
      <c r="J280" s="372"/>
    </row>
    <row r="281" spans="1:10" s="381" customFormat="1" ht="63.75" hidden="1" outlineLevel="2" x14ac:dyDescent="0.2">
      <c r="A281" s="312" t="s">
        <v>1168</v>
      </c>
      <c r="B281" s="171" t="s">
        <v>385</v>
      </c>
      <c r="C281" s="171" t="s">
        <v>384</v>
      </c>
      <c r="D281" s="316" t="s">
        <v>305</v>
      </c>
      <c r="E281" s="170">
        <v>4</v>
      </c>
      <c r="F281" s="428">
        <f t="shared" si="12"/>
        <v>8960</v>
      </c>
      <c r="G281" s="377">
        <f>НМЦК!K280</f>
        <v>35840</v>
      </c>
      <c r="H281" s="403" t="s">
        <v>1225</v>
      </c>
      <c r="I281" s="380"/>
      <c r="J281" s="380"/>
    </row>
    <row r="282" spans="1:10" s="373" customFormat="1" ht="25.5" hidden="1" outlineLevel="2" x14ac:dyDescent="0.2">
      <c r="A282" s="208" t="s">
        <v>1169</v>
      </c>
      <c r="B282" s="100" t="s">
        <v>388</v>
      </c>
      <c r="C282" s="100" t="s">
        <v>387</v>
      </c>
      <c r="D282" s="157" t="s">
        <v>305</v>
      </c>
      <c r="E282" s="277">
        <v>20</v>
      </c>
      <c r="F282" s="423">
        <f t="shared" si="12"/>
        <v>1366.35</v>
      </c>
      <c r="G282" s="339">
        <f>НМЦК!K281</f>
        <v>27327</v>
      </c>
      <c r="H282" s="372"/>
      <c r="I282" s="372"/>
      <c r="J282" s="372"/>
    </row>
    <row r="283" spans="1:10" s="373" customFormat="1" ht="15.75" hidden="1" outlineLevel="2" x14ac:dyDescent="0.2">
      <c r="A283" s="208" t="s">
        <v>1170</v>
      </c>
      <c r="B283" s="100" t="s">
        <v>391</v>
      </c>
      <c r="C283" s="100" t="s">
        <v>389</v>
      </c>
      <c r="D283" s="157" t="s">
        <v>305</v>
      </c>
      <c r="E283" s="277">
        <v>4</v>
      </c>
      <c r="F283" s="423">
        <f t="shared" si="12"/>
        <v>2425.75</v>
      </c>
      <c r="G283" s="339">
        <f>НМЦК!K282</f>
        <v>9703</v>
      </c>
      <c r="H283" s="372"/>
      <c r="I283" s="372"/>
      <c r="J283" s="372"/>
    </row>
    <row r="284" spans="1:10" s="373" customFormat="1" ht="15.75" hidden="1" outlineLevel="2" x14ac:dyDescent="0.2">
      <c r="A284" s="208" t="s">
        <v>1171</v>
      </c>
      <c r="B284" s="100" t="s">
        <v>392</v>
      </c>
      <c r="C284" s="100" t="s">
        <v>390</v>
      </c>
      <c r="D284" s="157" t="s">
        <v>305</v>
      </c>
      <c r="E284" s="277">
        <v>4</v>
      </c>
      <c r="F284" s="423">
        <f t="shared" si="12"/>
        <v>2357.5</v>
      </c>
      <c r="G284" s="339">
        <f>НМЦК!K283</f>
        <v>9430</v>
      </c>
      <c r="H284" s="372"/>
      <c r="I284" s="372"/>
      <c r="J284" s="372"/>
    </row>
    <row r="285" spans="1:10" s="373" customFormat="1" ht="15.75" hidden="1" outlineLevel="2" x14ac:dyDescent="0.2">
      <c r="A285" s="208" t="s">
        <v>1172</v>
      </c>
      <c r="B285" s="100" t="s">
        <v>394</v>
      </c>
      <c r="C285" s="100" t="s">
        <v>393</v>
      </c>
      <c r="D285" s="157" t="s">
        <v>305</v>
      </c>
      <c r="E285" s="277">
        <v>4</v>
      </c>
      <c r="F285" s="423">
        <f t="shared" si="12"/>
        <v>4526.75</v>
      </c>
      <c r="G285" s="339">
        <f>НМЦК!K284</f>
        <v>18107</v>
      </c>
      <c r="H285" s="372"/>
      <c r="I285" s="372"/>
      <c r="J285" s="372"/>
    </row>
    <row r="286" spans="1:10" s="373" customFormat="1" ht="25.5" hidden="1" outlineLevel="2" x14ac:dyDescent="0.2">
      <c r="A286" s="208" t="s">
        <v>1173</v>
      </c>
      <c r="B286" s="100" t="s">
        <v>396</v>
      </c>
      <c r="C286" s="100" t="s">
        <v>395</v>
      </c>
      <c r="D286" s="157" t="s">
        <v>305</v>
      </c>
      <c r="E286" s="277">
        <v>4</v>
      </c>
      <c r="F286" s="423">
        <f t="shared" si="12"/>
        <v>2299.75</v>
      </c>
      <c r="G286" s="339">
        <f>НМЦК!K285</f>
        <v>9199</v>
      </c>
      <c r="H286" s="372"/>
      <c r="I286" s="372"/>
      <c r="J286" s="372"/>
    </row>
    <row r="287" spans="1:10" s="373" customFormat="1" ht="25.5" hidden="1" outlineLevel="2" x14ac:dyDescent="0.2">
      <c r="A287" s="208" t="s">
        <v>1174</v>
      </c>
      <c r="B287" s="100" t="s">
        <v>398</v>
      </c>
      <c r="C287" s="100" t="s">
        <v>397</v>
      </c>
      <c r="D287" s="157" t="s">
        <v>305</v>
      </c>
      <c r="E287" s="277">
        <v>4</v>
      </c>
      <c r="F287" s="423">
        <f t="shared" si="12"/>
        <v>355.75</v>
      </c>
      <c r="G287" s="339">
        <f>НМЦК!K286</f>
        <v>1423</v>
      </c>
      <c r="H287" s="372" t="s">
        <v>403</v>
      </c>
      <c r="I287" s="372"/>
      <c r="J287" s="372"/>
    </row>
    <row r="288" spans="1:10" s="373" customFormat="1" ht="15.75" hidden="1" outlineLevel="2" x14ac:dyDescent="0.2">
      <c r="A288" s="208" t="s">
        <v>1175</v>
      </c>
      <c r="B288" s="100" t="s">
        <v>400</v>
      </c>
      <c r="C288" s="100" t="s">
        <v>399</v>
      </c>
      <c r="D288" s="157" t="s">
        <v>305</v>
      </c>
      <c r="E288" s="277">
        <v>4</v>
      </c>
      <c r="F288" s="423">
        <f t="shared" si="12"/>
        <v>4983</v>
      </c>
      <c r="G288" s="339">
        <f>НМЦК!K287</f>
        <v>19932</v>
      </c>
      <c r="H288" s="372"/>
      <c r="I288" s="372"/>
      <c r="J288" s="372"/>
    </row>
    <row r="289" spans="1:10" s="373" customFormat="1" ht="15.75" hidden="1" outlineLevel="2" x14ac:dyDescent="0.2">
      <c r="A289" s="208" t="s">
        <v>1176</v>
      </c>
      <c r="B289" s="100" t="s">
        <v>402</v>
      </c>
      <c r="C289" s="100" t="s">
        <v>401</v>
      </c>
      <c r="D289" s="157" t="s">
        <v>363</v>
      </c>
      <c r="E289" s="277">
        <v>550</v>
      </c>
      <c r="F289" s="423">
        <f t="shared" si="12"/>
        <v>267.99</v>
      </c>
      <c r="G289" s="339">
        <f>НМЦК!K288</f>
        <v>147396</v>
      </c>
      <c r="H289" s="372"/>
      <c r="I289" s="372"/>
      <c r="J289" s="372"/>
    </row>
    <row r="290" spans="1:10" s="373" customFormat="1" ht="25.5" hidden="1" outlineLevel="2" x14ac:dyDescent="0.2">
      <c r="A290" s="208" t="s">
        <v>1177</v>
      </c>
      <c r="B290" s="100" t="s">
        <v>405</v>
      </c>
      <c r="C290" s="100" t="s">
        <v>404</v>
      </c>
      <c r="D290" s="157" t="s">
        <v>363</v>
      </c>
      <c r="E290" s="277">
        <v>200</v>
      </c>
      <c r="F290" s="423">
        <f t="shared" si="12"/>
        <v>311.07</v>
      </c>
      <c r="G290" s="339">
        <f>НМЦК!K289</f>
        <v>62214</v>
      </c>
      <c r="H290" s="372"/>
      <c r="I290" s="372"/>
      <c r="J290" s="372"/>
    </row>
    <row r="291" spans="1:10" s="373" customFormat="1" ht="15.75" hidden="1" outlineLevel="2" x14ac:dyDescent="0.2">
      <c r="A291" s="208" t="s">
        <v>1178</v>
      </c>
      <c r="B291" s="100" t="s">
        <v>407</v>
      </c>
      <c r="C291" s="100" t="s">
        <v>406</v>
      </c>
      <c r="D291" s="157" t="s">
        <v>305</v>
      </c>
      <c r="E291" s="277">
        <v>50</v>
      </c>
      <c r="F291" s="423">
        <f t="shared" si="12"/>
        <v>198.8</v>
      </c>
      <c r="G291" s="339">
        <f>НМЦК!K290</f>
        <v>9940</v>
      </c>
      <c r="H291" s="372"/>
      <c r="I291" s="372"/>
      <c r="J291" s="372"/>
    </row>
    <row r="292" spans="1:10" s="373" customFormat="1" ht="25.5" hidden="1" outlineLevel="2" x14ac:dyDescent="0.2">
      <c r="A292" s="208" t="s">
        <v>1179</v>
      </c>
      <c r="B292" s="100" t="s">
        <v>410</v>
      </c>
      <c r="C292" s="100" t="s">
        <v>409</v>
      </c>
      <c r="D292" s="157" t="s">
        <v>363</v>
      </c>
      <c r="E292" s="277">
        <v>520</v>
      </c>
      <c r="F292" s="423">
        <f t="shared" si="12"/>
        <v>134.72999999999999</v>
      </c>
      <c r="G292" s="339">
        <f>НМЦК!K291</f>
        <v>70058</v>
      </c>
      <c r="H292" s="372"/>
      <c r="I292" s="372"/>
      <c r="J292" s="372"/>
    </row>
    <row r="293" spans="1:10" s="373" customFormat="1" ht="15.75" hidden="1" outlineLevel="2" x14ac:dyDescent="0.2">
      <c r="A293" s="208" t="s">
        <v>1180</v>
      </c>
      <c r="B293" s="100" t="s">
        <v>412</v>
      </c>
      <c r="C293" s="100" t="s">
        <v>411</v>
      </c>
      <c r="D293" s="157" t="s">
        <v>363</v>
      </c>
      <c r="E293" s="277">
        <v>520</v>
      </c>
      <c r="F293" s="423">
        <f t="shared" si="12"/>
        <v>72.14</v>
      </c>
      <c r="G293" s="339">
        <f>НМЦК!K292</f>
        <v>37515</v>
      </c>
      <c r="H293" s="372"/>
      <c r="I293" s="372"/>
      <c r="J293" s="372"/>
    </row>
    <row r="294" spans="1:10" s="373" customFormat="1" ht="15.75" hidden="1" outlineLevel="2" x14ac:dyDescent="0.2">
      <c r="A294" s="208" t="s">
        <v>1181</v>
      </c>
      <c r="B294" s="100" t="s">
        <v>414</v>
      </c>
      <c r="C294" s="100" t="s">
        <v>413</v>
      </c>
      <c r="D294" s="157" t="s">
        <v>363</v>
      </c>
      <c r="E294" s="277">
        <v>10</v>
      </c>
      <c r="F294" s="423">
        <f t="shared" si="12"/>
        <v>135.80000000000001</v>
      </c>
      <c r="G294" s="339">
        <f>НМЦК!K293</f>
        <v>1358</v>
      </c>
      <c r="H294" s="372"/>
      <c r="I294" s="372"/>
      <c r="J294" s="372"/>
    </row>
    <row r="295" spans="1:10" s="373" customFormat="1" ht="15.75" hidden="1" outlineLevel="2" x14ac:dyDescent="0.2">
      <c r="A295" s="208" t="s">
        <v>1182</v>
      </c>
      <c r="B295" s="100" t="s">
        <v>416</v>
      </c>
      <c r="C295" s="100" t="s">
        <v>415</v>
      </c>
      <c r="D295" s="157" t="s">
        <v>363</v>
      </c>
      <c r="E295" s="277">
        <v>400</v>
      </c>
      <c r="F295" s="423">
        <f t="shared" si="12"/>
        <v>157.5</v>
      </c>
      <c r="G295" s="339">
        <f>НМЦК!K294</f>
        <v>63000</v>
      </c>
      <c r="H295" s="372"/>
      <c r="I295" s="372"/>
      <c r="J295" s="372"/>
    </row>
    <row r="296" spans="1:10" s="362" customFormat="1" ht="15.75" outlineLevel="1" collapsed="1" x14ac:dyDescent="0.2">
      <c r="A296" s="282" t="s">
        <v>946</v>
      </c>
      <c r="B296" s="283"/>
      <c r="C296" s="283" t="s">
        <v>987</v>
      </c>
      <c r="D296" s="359" t="s">
        <v>250</v>
      </c>
      <c r="E296" s="154">
        <v>1</v>
      </c>
      <c r="F296" s="422">
        <f t="shared" si="12"/>
        <v>575901</v>
      </c>
      <c r="G296" s="337">
        <f>НМЦК!K295</f>
        <v>575901</v>
      </c>
      <c r="H296" s="360"/>
      <c r="I296" s="360"/>
      <c r="J296" s="360"/>
    </row>
    <row r="297" spans="1:10" s="373" customFormat="1" ht="60.75" hidden="1" customHeight="1" outlineLevel="2" x14ac:dyDescent="0.2">
      <c r="A297" s="208" t="s">
        <v>1183</v>
      </c>
      <c r="B297" s="100" t="s">
        <v>307</v>
      </c>
      <c r="C297" s="100" t="s">
        <v>715</v>
      </c>
      <c r="D297" s="157" t="s">
        <v>305</v>
      </c>
      <c r="E297" s="277">
        <v>34</v>
      </c>
      <c r="F297" s="423">
        <f t="shared" si="12"/>
        <v>16454.32</v>
      </c>
      <c r="G297" s="339">
        <f>НМЦК!K296</f>
        <v>559447</v>
      </c>
      <c r="H297" s="619" t="s">
        <v>1333</v>
      </c>
      <c r="I297" s="382">
        <f>203.7</f>
        <v>203.7</v>
      </c>
      <c r="J297" s="372">
        <f>E297*I297</f>
        <v>6925.8</v>
      </c>
    </row>
    <row r="298" spans="1:10" s="373" customFormat="1" ht="54" hidden="1" customHeight="1" outlineLevel="2" x14ac:dyDescent="0.2">
      <c r="A298" s="208" t="s">
        <v>1184</v>
      </c>
      <c r="B298" s="100" t="s">
        <v>307</v>
      </c>
      <c r="C298" s="100" t="s">
        <v>306</v>
      </c>
      <c r="D298" s="157" t="s">
        <v>305</v>
      </c>
      <c r="E298" s="277">
        <v>1</v>
      </c>
      <c r="F298" s="423">
        <f t="shared" ref="F298:F326" si="13">G298/E298</f>
        <v>16454</v>
      </c>
      <c r="G298" s="339">
        <f>НМЦК!K297</f>
        <v>16454</v>
      </c>
      <c r="H298" s="620"/>
      <c r="I298" s="382">
        <f>225.3</f>
        <v>225.3</v>
      </c>
      <c r="J298" s="372">
        <f>E298*I298</f>
        <v>225.3</v>
      </c>
    </row>
    <row r="299" spans="1:10" s="362" customFormat="1" ht="69" customHeight="1" outlineLevel="1" collapsed="1" x14ac:dyDescent="0.2">
      <c r="A299" s="282" t="s">
        <v>947</v>
      </c>
      <c r="B299" s="283" t="s">
        <v>51</v>
      </c>
      <c r="C299" s="283" t="s">
        <v>52</v>
      </c>
      <c r="D299" s="359" t="s">
        <v>250</v>
      </c>
      <c r="E299" s="154">
        <v>1</v>
      </c>
      <c r="F299" s="422">
        <f t="shared" si="13"/>
        <v>302283</v>
      </c>
      <c r="G299" s="337">
        <f>НМЦК!K298</f>
        <v>302283</v>
      </c>
      <c r="H299" s="360"/>
      <c r="I299" s="360"/>
      <c r="J299" s="360"/>
    </row>
    <row r="300" spans="1:10" s="362" customFormat="1" ht="89.25" outlineLevel="1" x14ac:dyDescent="0.2">
      <c r="A300" s="282" t="s">
        <v>948</v>
      </c>
      <c r="B300" s="283" t="s">
        <v>106</v>
      </c>
      <c r="C300" s="283" t="s">
        <v>709</v>
      </c>
      <c r="D300" s="359" t="s">
        <v>271</v>
      </c>
      <c r="E300" s="154">
        <f>(2060+245+175)*3</f>
        <v>7440</v>
      </c>
      <c r="F300" s="422">
        <f t="shared" si="13"/>
        <v>20.95</v>
      </c>
      <c r="G300" s="337">
        <f>НМЦК!K299</f>
        <v>155892</v>
      </c>
      <c r="H300" s="404" t="s">
        <v>710</v>
      </c>
      <c r="I300" s="360"/>
      <c r="J300" s="360"/>
    </row>
    <row r="301" spans="1:10" s="362" customFormat="1" ht="15.75" outlineLevel="1" x14ac:dyDescent="0.2">
      <c r="A301" s="282" t="s">
        <v>949</v>
      </c>
      <c r="B301" s="283" t="s">
        <v>53</v>
      </c>
      <c r="C301" s="283" t="s">
        <v>1392</v>
      </c>
      <c r="D301" s="359" t="s">
        <v>250</v>
      </c>
      <c r="E301" s="154">
        <v>1</v>
      </c>
      <c r="F301" s="422">
        <f t="shared" si="13"/>
        <v>567632</v>
      </c>
      <c r="G301" s="337">
        <f>НМЦК!K300</f>
        <v>567632</v>
      </c>
      <c r="H301" s="360"/>
      <c r="I301" s="360"/>
      <c r="J301" s="360"/>
    </row>
    <row r="302" spans="1:10" s="362" customFormat="1" ht="15.75" outlineLevel="1" x14ac:dyDescent="0.2">
      <c r="A302" s="282" t="s">
        <v>952</v>
      </c>
      <c r="B302" s="283" t="s">
        <v>110</v>
      </c>
      <c r="C302" s="283" t="s">
        <v>1391</v>
      </c>
      <c r="D302" s="359" t="s">
        <v>250</v>
      </c>
      <c r="E302" s="154">
        <v>1</v>
      </c>
      <c r="F302" s="422">
        <f t="shared" si="13"/>
        <v>5885047</v>
      </c>
      <c r="G302" s="337">
        <f>НМЦК!K301</f>
        <v>5885047</v>
      </c>
      <c r="H302" s="360"/>
      <c r="I302" s="360"/>
      <c r="J302" s="360"/>
    </row>
    <row r="303" spans="1:10" s="373" customFormat="1" ht="15.75" hidden="1" outlineLevel="2" x14ac:dyDescent="0.2">
      <c r="A303" s="356" t="s">
        <v>1321</v>
      </c>
      <c r="B303" s="100" t="s">
        <v>1315</v>
      </c>
      <c r="C303" s="100" t="s">
        <v>1317</v>
      </c>
      <c r="D303" s="157" t="s">
        <v>250</v>
      </c>
      <c r="E303" s="277">
        <v>1</v>
      </c>
      <c r="F303" s="423">
        <f t="shared" si="13"/>
        <v>303869</v>
      </c>
      <c r="G303" s="339">
        <f>НМЦК!K302</f>
        <v>303869</v>
      </c>
      <c r="H303" s="372"/>
      <c r="I303" s="372"/>
      <c r="J303" s="372"/>
    </row>
    <row r="304" spans="1:10" s="373" customFormat="1" ht="15.75" hidden="1" outlineLevel="2" x14ac:dyDescent="0.2">
      <c r="A304" s="356" t="s">
        <v>1322</v>
      </c>
      <c r="B304" s="100" t="s">
        <v>1316</v>
      </c>
      <c r="C304" s="100" t="s">
        <v>1318</v>
      </c>
      <c r="D304" s="157" t="s">
        <v>250</v>
      </c>
      <c r="E304" s="277">
        <v>1</v>
      </c>
      <c r="F304" s="423">
        <f t="shared" si="13"/>
        <v>5581178</v>
      </c>
      <c r="G304" s="339">
        <f>НМЦК!K303</f>
        <v>5581178</v>
      </c>
      <c r="H304" s="372"/>
      <c r="I304" s="372"/>
      <c r="J304" s="372"/>
    </row>
    <row r="305" spans="1:10" s="362" customFormat="1" ht="15.75" outlineLevel="1" collapsed="1" x14ac:dyDescent="0.2">
      <c r="A305" s="282" t="s">
        <v>1192</v>
      </c>
      <c r="B305" s="283" t="s">
        <v>55</v>
      </c>
      <c r="C305" s="283" t="s">
        <v>1390</v>
      </c>
      <c r="D305" s="359" t="s">
        <v>250</v>
      </c>
      <c r="E305" s="154">
        <v>1</v>
      </c>
      <c r="F305" s="422">
        <f t="shared" si="13"/>
        <v>164898</v>
      </c>
      <c r="G305" s="337">
        <f>НМЦК!K304</f>
        <v>164898</v>
      </c>
      <c r="H305" s="360"/>
      <c r="I305" s="360"/>
      <c r="J305" s="360"/>
    </row>
    <row r="306" spans="1:10" s="362" customFormat="1" ht="15.75" outlineLevel="1" x14ac:dyDescent="0.2">
      <c r="A306" s="282" t="s">
        <v>1193</v>
      </c>
      <c r="B306" s="283" t="s">
        <v>57</v>
      </c>
      <c r="C306" s="283" t="s">
        <v>1389</v>
      </c>
      <c r="D306" s="405" t="s">
        <v>250</v>
      </c>
      <c r="E306" s="154">
        <v>1</v>
      </c>
      <c r="F306" s="422">
        <f t="shared" si="13"/>
        <v>10276480</v>
      </c>
      <c r="G306" s="337">
        <f>НМЦК!K305</f>
        <v>10276480</v>
      </c>
      <c r="H306" s="360"/>
      <c r="I306" s="360"/>
      <c r="J306" s="360"/>
    </row>
    <row r="307" spans="1:10" s="373" customFormat="1" ht="15.75" hidden="1" outlineLevel="2" x14ac:dyDescent="0.2">
      <c r="A307" s="208" t="s">
        <v>1195</v>
      </c>
      <c r="B307" s="100" t="s">
        <v>211</v>
      </c>
      <c r="C307" s="406" t="s">
        <v>209</v>
      </c>
      <c r="D307" s="383" t="s">
        <v>250</v>
      </c>
      <c r="E307" s="277">
        <v>1</v>
      </c>
      <c r="F307" s="423">
        <f t="shared" si="13"/>
        <v>9571531</v>
      </c>
      <c r="G307" s="339">
        <f>НМЦК!K306</f>
        <v>9571531</v>
      </c>
      <c r="H307" s="372"/>
      <c r="I307" s="372"/>
      <c r="J307" s="372"/>
    </row>
    <row r="308" spans="1:10" s="373" customFormat="1" ht="15.75" hidden="1" outlineLevel="2" x14ac:dyDescent="0.2">
      <c r="A308" s="208" t="s">
        <v>1196</v>
      </c>
      <c r="B308" s="100" t="s">
        <v>212</v>
      </c>
      <c r="C308" s="406" t="s">
        <v>210</v>
      </c>
      <c r="D308" s="383" t="s">
        <v>250</v>
      </c>
      <c r="E308" s="277">
        <v>1</v>
      </c>
      <c r="F308" s="423">
        <f t="shared" si="13"/>
        <v>704949</v>
      </c>
      <c r="G308" s="339">
        <f>НМЦК!K307</f>
        <v>704949</v>
      </c>
      <c r="H308" s="372"/>
      <c r="I308" s="372"/>
      <c r="J308" s="372"/>
    </row>
    <row r="309" spans="1:10" s="362" customFormat="1" ht="15.75" hidden="1" outlineLevel="1" collapsed="1" x14ac:dyDescent="0.2">
      <c r="A309" s="282" t="s">
        <v>1197</v>
      </c>
      <c r="B309" s="283" t="s">
        <v>1237</v>
      </c>
      <c r="C309" s="407" t="s">
        <v>1385</v>
      </c>
      <c r="D309" s="405" t="s">
        <v>250</v>
      </c>
      <c r="E309" s="154">
        <v>1</v>
      </c>
      <c r="F309" s="422">
        <f t="shared" si="13"/>
        <v>0</v>
      </c>
      <c r="G309" s="337">
        <f>НМЦК!K308</f>
        <v>0</v>
      </c>
      <c r="H309" s="360"/>
      <c r="I309" s="360"/>
      <c r="J309" s="360"/>
    </row>
    <row r="310" spans="1:10" s="362" customFormat="1" ht="15.75" hidden="1" outlineLevel="1" x14ac:dyDescent="0.2">
      <c r="A310" s="282" t="s">
        <v>1197</v>
      </c>
      <c r="B310" s="283" t="s">
        <v>1237</v>
      </c>
      <c r="C310" s="407" t="s">
        <v>1236</v>
      </c>
      <c r="D310" s="405" t="s">
        <v>250</v>
      </c>
      <c r="E310" s="154">
        <v>1</v>
      </c>
      <c r="F310" s="422">
        <f t="shared" si="13"/>
        <v>0</v>
      </c>
      <c r="G310" s="337">
        <f>НМЦК!K309</f>
        <v>0</v>
      </c>
      <c r="H310" s="360"/>
      <c r="I310" s="360"/>
      <c r="J310" s="360"/>
    </row>
    <row r="311" spans="1:10" s="362" customFormat="1" ht="15.75" outlineLevel="1" x14ac:dyDescent="0.2">
      <c r="A311" s="282" t="s">
        <v>1197</v>
      </c>
      <c r="B311" s="283"/>
      <c r="C311" s="283" t="s">
        <v>1209</v>
      </c>
      <c r="D311" s="405" t="s">
        <v>250</v>
      </c>
      <c r="E311" s="154">
        <v>1</v>
      </c>
      <c r="F311" s="422">
        <f t="shared" si="13"/>
        <v>2251212</v>
      </c>
      <c r="G311" s="337">
        <f>НМЦК!K310</f>
        <v>2251212</v>
      </c>
      <c r="H311" s="360"/>
      <c r="I311" s="360"/>
      <c r="J311" s="360"/>
    </row>
    <row r="312" spans="1:10" s="411" customFormat="1" ht="54" customHeight="1" x14ac:dyDescent="0.2">
      <c r="A312" s="402" t="s">
        <v>295</v>
      </c>
      <c r="B312" s="281"/>
      <c r="C312" s="412" t="s">
        <v>296</v>
      </c>
      <c r="D312" s="297" t="s">
        <v>250</v>
      </c>
      <c r="E312" s="364">
        <v>1</v>
      </c>
      <c r="F312" s="430">
        <f t="shared" si="13"/>
        <v>821917</v>
      </c>
      <c r="G312" s="364">
        <f>НМЦК!K311</f>
        <v>821917</v>
      </c>
      <c r="H312" s="408"/>
      <c r="I312" s="409"/>
      <c r="J312" s="410"/>
    </row>
    <row r="313" spans="1:10" s="362" customFormat="1" ht="15.75" outlineLevel="1" x14ac:dyDescent="0.2">
      <c r="A313" s="363" t="s">
        <v>297</v>
      </c>
      <c r="B313" s="363"/>
      <c r="C313" s="358" t="s">
        <v>989</v>
      </c>
      <c r="D313" s="359" t="s">
        <v>250</v>
      </c>
      <c r="E313" s="154">
        <v>1</v>
      </c>
      <c r="F313" s="371">
        <f t="shared" si="13"/>
        <v>109836</v>
      </c>
      <c r="G313" s="154">
        <f>НМЦК!K312</f>
        <v>109836</v>
      </c>
      <c r="H313" s="360"/>
      <c r="I313" s="360"/>
      <c r="J313" s="360"/>
    </row>
    <row r="314" spans="1:10" s="373" customFormat="1" ht="25.5" hidden="1" outlineLevel="2" x14ac:dyDescent="0.2">
      <c r="A314" s="208" t="s">
        <v>953</v>
      </c>
      <c r="B314" s="100" t="s">
        <v>191</v>
      </c>
      <c r="C314" s="100" t="s">
        <v>192</v>
      </c>
      <c r="D314" s="157" t="s">
        <v>250</v>
      </c>
      <c r="E314" s="277">
        <v>1</v>
      </c>
      <c r="F314" s="423">
        <f t="shared" si="13"/>
        <v>13381</v>
      </c>
      <c r="G314" s="339">
        <f>НМЦК!K313</f>
        <v>13381</v>
      </c>
      <c r="H314" s="372"/>
      <c r="I314" s="372"/>
      <c r="J314" s="372"/>
    </row>
    <row r="315" spans="1:10" s="373" customFormat="1" ht="25.5" hidden="1" outlineLevel="2" x14ac:dyDescent="0.2">
      <c r="A315" s="208" t="s">
        <v>954</v>
      </c>
      <c r="B315" s="100" t="s">
        <v>193</v>
      </c>
      <c r="C315" s="100" t="s">
        <v>194</v>
      </c>
      <c r="D315" s="157" t="s">
        <v>250</v>
      </c>
      <c r="E315" s="277">
        <v>1</v>
      </c>
      <c r="F315" s="423">
        <f t="shared" si="13"/>
        <v>8382</v>
      </c>
      <c r="G315" s="339">
        <f>НМЦК!K314</f>
        <v>8382</v>
      </c>
      <c r="H315" s="372"/>
      <c r="I315" s="372"/>
      <c r="J315" s="372"/>
    </row>
    <row r="316" spans="1:10" s="373" customFormat="1" ht="15.75" hidden="1" outlineLevel="2" x14ac:dyDescent="0.2">
      <c r="A316" s="208" t="s">
        <v>955</v>
      </c>
      <c r="B316" s="100" t="s">
        <v>195</v>
      </c>
      <c r="C316" s="100" t="s">
        <v>196</v>
      </c>
      <c r="D316" s="383" t="s">
        <v>250</v>
      </c>
      <c r="E316" s="277">
        <v>1</v>
      </c>
      <c r="F316" s="423">
        <f t="shared" si="13"/>
        <v>88073</v>
      </c>
      <c r="G316" s="339">
        <f>НМЦК!K315</f>
        <v>88073</v>
      </c>
      <c r="H316" s="372"/>
      <c r="I316" s="372"/>
      <c r="J316" s="372"/>
    </row>
    <row r="317" spans="1:10" s="362" customFormat="1" ht="15.75" outlineLevel="1" collapsed="1" x14ac:dyDescent="0.2">
      <c r="A317" s="282" t="s">
        <v>298</v>
      </c>
      <c r="B317" s="283"/>
      <c r="C317" s="283" t="s">
        <v>988</v>
      </c>
      <c r="D317" s="359" t="s">
        <v>250</v>
      </c>
      <c r="E317" s="154">
        <v>1</v>
      </c>
      <c r="F317" s="422">
        <f t="shared" si="13"/>
        <v>609599</v>
      </c>
      <c r="G317" s="337">
        <f>НМЦК!K316</f>
        <v>609599</v>
      </c>
      <c r="H317" s="360"/>
      <c r="I317" s="360"/>
      <c r="J317" s="360"/>
    </row>
    <row r="318" spans="1:10" s="373" customFormat="1" ht="15.75" hidden="1" outlineLevel="2" x14ac:dyDescent="0.2">
      <c r="A318" s="208" t="s">
        <v>1185</v>
      </c>
      <c r="B318" s="100" t="s">
        <v>197</v>
      </c>
      <c r="C318" s="100" t="s">
        <v>198</v>
      </c>
      <c r="D318" s="383" t="s">
        <v>250</v>
      </c>
      <c r="E318" s="277">
        <v>1</v>
      </c>
      <c r="F318" s="423">
        <f t="shared" si="13"/>
        <v>545199</v>
      </c>
      <c r="G318" s="339">
        <f>НМЦК!K317</f>
        <v>545199</v>
      </c>
      <c r="H318" s="372"/>
      <c r="I318" s="372"/>
      <c r="J318" s="372"/>
    </row>
    <row r="319" spans="1:10" s="390" customFormat="1" ht="15.75" hidden="1" outlineLevel="3" x14ac:dyDescent="0.2">
      <c r="A319" s="191" t="s">
        <v>1186</v>
      </c>
      <c r="B319" s="132" t="s">
        <v>712</v>
      </c>
      <c r="C319" s="132" t="s">
        <v>711</v>
      </c>
      <c r="D319" s="413" t="s">
        <v>250</v>
      </c>
      <c r="E319" s="233">
        <v>1</v>
      </c>
      <c r="F319" s="424">
        <f t="shared" si="13"/>
        <v>382074</v>
      </c>
      <c r="G319" s="388">
        <f>НМЦК!K318</f>
        <v>382074</v>
      </c>
      <c r="H319" s="194"/>
      <c r="I319" s="194"/>
      <c r="J319" s="194"/>
    </row>
    <row r="320" spans="1:10" s="390" customFormat="1" ht="15.75" hidden="1" outlineLevel="3" x14ac:dyDescent="0.2">
      <c r="A320" s="191" t="s">
        <v>1187</v>
      </c>
      <c r="B320" s="132" t="s">
        <v>713</v>
      </c>
      <c r="C320" s="132" t="s">
        <v>714</v>
      </c>
      <c r="D320" s="413" t="s">
        <v>250</v>
      </c>
      <c r="E320" s="233">
        <v>1</v>
      </c>
      <c r="F320" s="424">
        <f t="shared" si="13"/>
        <v>163125</v>
      </c>
      <c r="G320" s="388">
        <f>НМЦК!K319</f>
        <v>163125</v>
      </c>
      <c r="H320" s="194"/>
      <c r="I320" s="194"/>
      <c r="J320" s="194"/>
    </row>
    <row r="321" spans="1:10" s="373" customFormat="1" ht="15.75" hidden="1" outlineLevel="2" x14ac:dyDescent="0.2">
      <c r="A321" s="208" t="s">
        <v>1188</v>
      </c>
      <c r="B321" s="100" t="s">
        <v>199</v>
      </c>
      <c r="C321" s="100" t="s">
        <v>200</v>
      </c>
      <c r="D321" s="383" t="s">
        <v>250</v>
      </c>
      <c r="E321" s="277">
        <v>1</v>
      </c>
      <c r="F321" s="423">
        <f t="shared" si="13"/>
        <v>32200</v>
      </c>
      <c r="G321" s="339">
        <f>НМЦК!K320</f>
        <v>32200</v>
      </c>
      <c r="H321" s="372"/>
      <c r="I321" s="372"/>
      <c r="J321" s="372"/>
    </row>
    <row r="322" spans="1:10" s="373" customFormat="1" ht="15.75" hidden="1" outlineLevel="2" x14ac:dyDescent="0.2">
      <c r="A322" s="208" t="s">
        <v>1189</v>
      </c>
      <c r="B322" s="100" t="s">
        <v>201</v>
      </c>
      <c r="C322" s="100" t="s">
        <v>202</v>
      </c>
      <c r="D322" s="383" t="s">
        <v>250</v>
      </c>
      <c r="E322" s="277">
        <v>1</v>
      </c>
      <c r="F322" s="423">
        <f t="shared" si="13"/>
        <v>32200</v>
      </c>
      <c r="G322" s="339">
        <f>НМЦК!K321</f>
        <v>32200</v>
      </c>
      <c r="H322" s="372"/>
      <c r="I322" s="372"/>
      <c r="J322" s="372"/>
    </row>
    <row r="323" spans="1:10" s="362" customFormat="1" ht="15.75" outlineLevel="1" collapsed="1" x14ac:dyDescent="0.2">
      <c r="A323" s="282" t="s">
        <v>299</v>
      </c>
      <c r="B323" s="283" t="s">
        <v>110</v>
      </c>
      <c r="C323" s="283" t="s">
        <v>1391</v>
      </c>
      <c r="D323" s="359" t="s">
        <v>250</v>
      </c>
      <c r="E323" s="154">
        <v>1</v>
      </c>
      <c r="F323" s="431">
        <f t="shared" si="13"/>
        <v>86063</v>
      </c>
      <c r="G323" s="414">
        <f>НМЦК!K322</f>
        <v>86063</v>
      </c>
      <c r="H323" s="360"/>
      <c r="I323" s="360"/>
      <c r="J323" s="360"/>
    </row>
    <row r="324" spans="1:10" s="390" customFormat="1" ht="15.75" hidden="1" outlineLevel="2" x14ac:dyDescent="0.2">
      <c r="A324" s="357" t="s">
        <v>1323</v>
      </c>
      <c r="B324" s="132" t="s">
        <v>1315</v>
      </c>
      <c r="C324" s="132" t="s">
        <v>1317</v>
      </c>
      <c r="D324" s="315" t="s">
        <v>250</v>
      </c>
      <c r="E324" s="233">
        <v>1</v>
      </c>
      <c r="F324" s="424">
        <f t="shared" si="13"/>
        <v>4520</v>
      </c>
      <c r="G324" s="388">
        <f>НМЦК!K323</f>
        <v>4520</v>
      </c>
      <c r="H324" s="194"/>
      <c r="I324" s="194"/>
      <c r="J324" s="194"/>
    </row>
    <row r="325" spans="1:10" s="390" customFormat="1" ht="15.75" hidden="1" outlineLevel="2" x14ac:dyDescent="0.2">
      <c r="A325" s="357" t="s">
        <v>1324</v>
      </c>
      <c r="B325" s="132" t="s">
        <v>1316</v>
      </c>
      <c r="C325" s="132" t="s">
        <v>1318</v>
      </c>
      <c r="D325" s="315" t="s">
        <v>250</v>
      </c>
      <c r="E325" s="233">
        <v>1</v>
      </c>
      <c r="F325" s="424">
        <f t="shared" si="13"/>
        <v>81543</v>
      </c>
      <c r="G325" s="388">
        <f>НМЦК!K324</f>
        <v>81543</v>
      </c>
      <c r="H325" s="194"/>
      <c r="I325" s="194"/>
      <c r="J325" s="194"/>
    </row>
    <row r="326" spans="1:10" s="362" customFormat="1" ht="15.75" outlineLevel="1" collapsed="1" x14ac:dyDescent="0.2">
      <c r="A326" s="282" t="s">
        <v>1325</v>
      </c>
      <c r="B326" s="283"/>
      <c r="C326" s="283" t="s">
        <v>1209</v>
      </c>
      <c r="D326" s="405" t="s">
        <v>250</v>
      </c>
      <c r="E326" s="154">
        <v>1</v>
      </c>
      <c r="F326" s="422">
        <f t="shared" si="13"/>
        <v>16419</v>
      </c>
      <c r="G326" s="337">
        <f>НМЦК!K325</f>
        <v>16419</v>
      </c>
      <c r="H326" s="360"/>
      <c r="I326" s="360"/>
      <c r="J326" s="360"/>
    </row>
    <row r="327" spans="1:10" s="369" customFormat="1" ht="15.75" hidden="1" x14ac:dyDescent="0.2">
      <c r="A327" s="402" t="s">
        <v>1412</v>
      </c>
      <c r="B327" s="281"/>
      <c r="C327" s="281" t="s">
        <v>1411</v>
      </c>
      <c r="D327" s="462" t="s">
        <v>250</v>
      </c>
      <c r="E327" s="364">
        <v>1</v>
      </c>
      <c r="F327" s="421">
        <f>G327/E327</f>
        <v>0</v>
      </c>
      <c r="G327" s="366">
        <f>НМЦК!K326</f>
        <v>0</v>
      </c>
      <c r="H327" s="463"/>
      <c r="I327" s="463"/>
      <c r="J327" s="463"/>
    </row>
    <row r="328" spans="1:10" s="362" customFormat="1" ht="15.75" hidden="1" outlineLevel="1" x14ac:dyDescent="0.2">
      <c r="A328" s="282" t="s">
        <v>145</v>
      </c>
      <c r="B328" s="283"/>
      <c r="C328" s="283" t="s">
        <v>1411</v>
      </c>
      <c r="D328" s="405" t="s">
        <v>250</v>
      </c>
      <c r="E328" s="154">
        <v>1</v>
      </c>
      <c r="F328" s="422">
        <f t="shared" ref="F328:F329" si="14">G328/E328</f>
        <v>0</v>
      </c>
      <c r="G328" s="337">
        <f>НМЦК!K327</f>
        <v>0</v>
      </c>
      <c r="H328" s="461"/>
      <c r="I328" s="461"/>
      <c r="J328" s="461"/>
    </row>
    <row r="329" spans="1:10" s="362" customFormat="1" ht="15.75" hidden="1" outlineLevel="1" x14ac:dyDescent="0.2">
      <c r="A329" s="282" t="s">
        <v>146</v>
      </c>
      <c r="B329" s="283"/>
      <c r="C329" s="283" t="s">
        <v>1209</v>
      </c>
      <c r="D329" s="405" t="s">
        <v>250</v>
      </c>
      <c r="E329" s="154">
        <v>1</v>
      </c>
      <c r="F329" s="422">
        <f t="shared" si="14"/>
        <v>0</v>
      </c>
      <c r="G329" s="337">
        <f>НМЦК!K328</f>
        <v>0</v>
      </c>
      <c r="H329" s="461"/>
      <c r="I329" s="461"/>
      <c r="J329" s="461"/>
    </row>
    <row r="330" spans="1:10" ht="15.75" collapsed="1" x14ac:dyDescent="0.25">
      <c r="A330" s="318"/>
      <c r="B330" s="319"/>
      <c r="C330" s="320" t="s">
        <v>1233</v>
      </c>
      <c r="D330" s="319"/>
      <c r="E330" s="321"/>
      <c r="F330" s="326"/>
      <c r="G330" s="326">
        <f>G13+G16+G312+G327</f>
        <v>116907400</v>
      </c>
    </row>
    <row r="331" spans="1:10" ht="15.75" x14ac:dyDescent="0.25">
      <c r="A331" s="324"/>
      <c r="B331" s="319"/>
      <c r="C331" s="320" t="s">
        <v>1234</v>
      </c>
      <c r="D331" s="319"/>
      <c r="E331" s="321"/>
      <c r="F331" s="322"/>
      <c r="G331" s="322">
        <f>G330*0.2</f>
        <v>23381480</v>
      </c>
    </row>
    <row r="332" spans="1:10" ht="15.75" x14ac:dyDescent="0.25">
      <c r="A332" s="324"/>
      <c r="B332" s="319"/>
      <c r="C332" s="320" t="s">
        <v>1235</v>
      </c>
      <c r="D332" s="319"/>
      <c r="E332" s="321"/>
      <c r="F332" s="322"/>
      <c r="G332" s="322">
        <f>G330+G331</f>
        <v>140288880</v>
      </c>
    </row>
    <row r="333" spans="1:10" ht="15" x14ac:dyDescent="0.25">
      <c r="A333" s="207"/>
      <c r="B333" s="163"/>
      <c r="C333" s="164"/>
      <c r="D333" s="165"/>
      <c r="E333" s="166"/>
    </row>
    <row r="334" spans="1:10" ht="15" x14ac:dyDescent="0.25">
      <c r="A334" s="207"/>
      <c r="B334" s="163"/>
      <c r="C334" s="164"/>
      <c r="D334" s="165"/>
      <c r="E334" s="166"/>
    </row>
    <row r="335" spans="1:10" ht="15" x14ac:dyDescent="0.25">
      <c r="A335" s="207"/>
      <c r="B335" s="163"/>
      <c r="C335" s="164"/>
      <c r="D335" s="165"/>
      <c r="E335" s="166"/>
      <c r="F335" s="336"/>
      <c r="G335" s="355"/>
    </row>
    <row r="336" spans="1:10" ht="76.150000000000006" customHeight="1" x14ac:dyDescent="0.25">
      <c r="A336" s="621"/>
      <c r="B336" s="621"/>
      <c r="C336" s="621"/>
      <c r="D336" s="333"/>
      <c r="F336" s="292"/>
      <c r="G336" s="292"/>
    </row>
    <row r="337" spans="1:13" ht="15.75" x14ac:dyDescent="0.25">
      <c r="A337" s="335"/>
      <c r="B337" s="335"/>
      <c r="C337" s="335"/>
      <c r="D337" s="335"/>
      <c r="E337" s="335"/>
      <c r="F337" s="292"/>
      <c r="G337" s="292"/>
    </row>
    <row r="338" spans="1:13" ht="15.75" x14ac:dyDescent="0.25">
      <c r="A338" s="293"/>
      <c r="B338" s="293"/>
      <c r="C338" s="293"/>
      <c r="D338" s="293"/>
      <c r="E338" s="293"/>
      <c r="F338" s="292"/>
      <c r="G338" s="292"/>
    </row>
    <row r="339" spans="1:13" ht="15.75" x14ac:dyDescent="0.25">
      <c r="A339" s="622"/>
      <c r="B339" s="622"/>
      <c r="C339" s="622"/>
      <c r="D339" s="622"/>
      <c r="E339" s="622"/>
      <c r="F339" s="292"/>
      <c r="G339" s="292"/>
    </row>
    <row r="340" spans="1:13" ht="30.6" customHeight="1" x14ac:dyDescent="0.25">
      <c r="A340" s="622"/>
      <c r="B340" s="622"/>
      <c r="C340" s="622"/>
      <c r="D340" s="622"/>
      <c r="E340" s="622"/>
      <c r="F340" s="292"/>
      <c r="G340" s="292"/>
    </row>
    <row r="341" spans="1:13" ht="15" x14ac:dyDescent="0.25">
      <c r="A341" s="207"/>
      <c r="B341" s="163"/>
      <c r="C341" s="164"/>
      <c r="D341" s="165"/>
      <c r="E341" s="166"/>
    </row>
    <row r="342" spans="1:13" s="167" customFormat="1" ht="15" x14ac:dyDescent="0.25">
      <c r="A342" s="207"/>
      <c r="B342" s="163"/>
      <c r="C342" s="164"/>
      <c r="D342" s="165"/>
      <c r="E342" s="166"/>
      <c r="F342"/>
      <c r="G342"/>
      <c r="H342"/>
      <c r="I342"/>
      <c r="J342"/>
      <c r="K342"/>
      <c r="L342"/>
      <c r="M342"/>
    </row>
    <row r="343" spans="1:13" s="167" customFormat="1" ht="15" x14ac:dyDescent="0.25">
      <c r="A343" s="207"/>
      <c r="B343" s="163"/>
      <c r="C343" s="164"/>
      <c r="D343" s="165"/>
      <c r="E343" s="166"/>
      <c r="F343"/>
      <c r="G343"/>
      <c r="H343"/>
      <c r="I343"/>
      <c r="J343"/>
      <c r="K343"/>
      <c r="L343"/>
      <c r="M343"/>
    </row>
    <row r="344" spans="1:13" s="167" customFormat="1" ht="15" x14ac:dyDescent="0.25">
      <c r="A344" s="207"/>
      <c r="B344" s="163"/>
      <c r="C344" s="164"/>
      <c r="D344" s="165"/>
      <c r="E344" s="166"/>
      <c r="F344"/>
      <c r="G344"/>
      <c r="H344"/>
      <c r="I344"/>
      <c r="J344"/>
      <c r="K344"/>
      <c r="L344"/>
      <c r="M344"/>
    </row>
    <row r="345" spans="1:13" s="167" customFormat="1" x14ac:dyDescent="0.2">
      <c r="A345" s="98"/>
      <c r="B345" t="s">
        <v>300</v>
      </c>
      <c r="C345"/>
      <c r="D345"/>
      <c r="F345"/>
      <c r="G345"/>
      <c r="H345"/>
      <c r="I345"/>
      <c r="J345"/>
      <c r="K345"/>
      <c r="L345"/>
      <c r="M345"/>
    </row>
    <row r="347" spans="1:13" s="167" customFormat="1" x14ac:dyDescent="0.2">
      <c r="A347" s="98"/>
      <c r="B347" t="s">
        <v>301</v>
      </c>
      <c r="C347"/>
      <c r="D347"/>
      <c r="F347"/>
      <c r="G347"/>
      <c r="H347"/>
      <c r="I347"/>
      <c r="J347"/>
      <c r="K347"/>
      <c r="L347"/>
      <c r="M347"/>
    </row>
  </sheetData>
  <mergeCells count="15">
    <mergeCell ref="A1:G1"/>
    <mergeCell ref="B3:E3"/>
    <mergeCell ref="A7:E7"/>
    <mergeCell ref="A8:E8"/>
    <mergeCell ref="H119:H120"/>
    <mergeCell ref="F10:G10"/>
    <mergeCell ref="E10:E11"/>
    <mergeCell ref="D10:D11"/>
    <mergeCell ref="C10:C11"/>
    <mergeCell ref="A10:A11"/>
    <mergeCell ref="H201:H202"/>
    <mergeCell ref="H297:H298"/>
    <mergeCell ref="A336:C336"/>
    <mergeCell ref="A339:E339"/>
    <mergeCell ref="A340:E34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8"/>
  <sheetViews>
    <sheetView view="pageBreakPreview" topLeftCell="A80" zoomScaleNormal="100" zoomScaleSheetLayoutView="100" workbookViewId="0">
      <pane xSplit="1" topLeftCell="B1" activePane="topRight" state="frozen"/>
      <selection activeCell="A12" sqref="A12"/>
      <selection pane="topRight" activeCell="C336" sqref="C336"/>
    </sheetView>
  </sheetViews>
  <sheetFormatPr defaultRowHeight="12.75" outlineLevelRow="3" x14ac:dyDescent="0.2"/>
  <cols>
    <col min="1" max="1" width="11.28515625" style="98" bestFit="1" customWidth="1"/>
    <col min="2" max="2" width="21.85546875" customWidth="1"/>
    <col min="3" max="3" width="54.42578125" customWidth="1"/>
    <col min="4" max="4" width="19" customWidth="1"/>
    <col min="5" max="5" width="14.85546875" style="167" customWidth="1"/>
    <col min="6" max="6" width="18" style="167" hidden="1" customWidth="1"/>
    <col min="7" max="7" width="14.85546875" style="167" hidden="1" customWidth="1"/>
    <col min="8" max="8" width="19.7109375" hidden="1" customWidth="1"/>
    <col min="9" max="9" width="14.85546875" style="167" hidden="1" customWidth="1"/>
    <col min="10" max="11" width="19.7109375" hidden="1" customWidth="1"/>
    <col min="12" max="12" width="38.7109375" customWidth="1"/>
    <col min="13" max="13" width="15" hidden="1" customWidth="1"/>
    <col min="14" max="14" width="9.140625" hidden="1" customWidth="1"/>
    <col min="15" max="15" width="14" hidden="1" customWidth="1"/>
    <col min="16" max="16" width="14.85546875" hidden="1" customWidth="1"/>
    <col min="17" max="17" width="12.85546875" hidden="1" customWidth="1"/>
  </cols>
  <sheetData>
    <row r="1" spans="1:17" ht="29.25" customHeight="1" x14ac:dyDescent="0.2">
      <c r="A1" s="602" t="s">
        <v>244</v>
      </c>
      <c r="B1" s="602"/>
      <c r="C1" s="602"/>
      <c r="D1" s="602"/>
      <c r="E1" s="602"/>
      <c r="F1" s="602"/>
      <c r="G1" s="602"/>
      <c r="H1" s="602"/>
      <c r="I1"/>
    </row>
    <row r="2" spans="1:17" ht="29.25" customHeight="1" x14ac:dyDescent="0.2">
      <c r="A2" s="289" t="s">
        <v>1199</v>
      </c>
      <c r="B2" s="603" t="s">
        <v>302</v>
      </c>
      <c r="C2" s="623"/>
      <c r="D2" s="623"/>
      <c r="E2" s="623"/>
      <c r="F2" s="623"/>
      <c r="G2" s="623"/>
      <c r="H2" s="623"/>
      <c r="I2"/>
    </row>
    <row r="3" spans="1:17" ht="29.25" customHeight="1" x14ac:dyDescent="0.25">
      <c r="A3" s="147"/>
      <c r="B3" s="147"/>
      <c r="C3" s="147"/>
      <c r="D3" s="148"/>
      <c r="E3" s="147"/>
      <c r="G3" s="147"/>
      <c r="I3" s="147"/>
      <c r="K3" t="s">
        <v>1203</v>
      </c>
    </row>
    <row r="4" spans="1:17" ht="184.9" customHeight="1" x14ac:dyDescent="0.2">
      <c r="A4" s="149" t="s">
        <v>1</v>
      </c>
      <c r="B4" s="149" t="s">
        <v>245</v>
      </c>
      <c r="C4" s="150" t="s">
        <v>246</v>
      </c>
      <c r="D4" s="150" t="s">
        <v>247</v>
      </c>
      <c r="E4" s="150" t="s">
        <v>248</v>
      </c>
      <c r="F4" s="150" t="s">
        <v>1204</v>
      </c>
      <c r="G4" s="150" t="s">
        <v>1205</v>
      </c>
      <c r="H4" s="150" t="s">
        <v>1250</v>
      </c>
      <c r="I4" s="150" t="s">
        <v>1206</v>
      </c>
      <c r="J4" s="150" t="s">
        <v>1207</v>
      </c>
      <c r="K4" s="150" t="s">
        <v>1208</v>
      </c>
      <c r="L4" s="150" t="s">
        <v>681</v>
      </c>
      <c r="M4" s="150" t="s">
        <v>728</v>
      </c>
      <c r="N4" s="150" t="s">
        <v>732</v>
      </c>
      <c r="O4" s="218" t="s">
        <v>963</v>
      </c>
      <c r="P4" s="218" t="s">
        <v>964</v>
      </c>
      <c r="Q4" s="218" t="s">
        <v>965</v>
      </c>
    </row>
    <row r="5" spans="1:17" ht="15.75" x14ac:dyDescent="0.2">
      <c r="A5" s="149"/>
      <c r="B5" s="149"/>
      <c r="C5" s="149"/>
      <c r="D5" s="151"/>
      <c r="E5" s="151"/>
      <c r="F5" s="151">
        <v>3</v>
      </c>
      <c r="G5" s="151">
        <v>4</v>
      </c>
      <c r="H5" s="151">
        <v>5</v>
      </c>
      <c r="I5" s="151">
        <v>6</v>
      </c>
      <c r="J5" s="151">
        <v>7</v>
      </c>
      <c r="K5" s="151">
        <v>8</v>
      </c>
      <c r="L5" s="150"/>
      <c r="M5" s="150"/>
      <c r="N5" s="150"/>
      <c r="O5" s="295"/>
      <c r="P5" s="295"/>
      <c r="Q5" s="295"/>
    </row>
    <row r="6" spans="1:17" s="369" customFormat="1" ht="22.15" customHeight="1" x14ac:dyDescent="0.2">
      <c r="A6" s="152">
        <v>1</v>
      </c>
      <c r="B6" s="152"/>
      <c r="C6" s="153" t="s">
        <v>249</v>
      </c>
      <c r="D6" s="297" t="s">
        <v>250</v>
      </c>
      <c r="E6" s="364">
        <v>1</v>
      </c>
      <c r="F6" s="364">
        <f>F7+F8</f>
        <v>2073377</v>
      </c>
      <c r="G6" s="365">
        <f>$G$327</f>
        <v>1.0960000000000001</v>
      </c>
      <c r="H6" s="366">
        <f>H7+H8</f>
        <v>2272421</v>
      </c>
      <c r="I6" s="365" t="e">
        <f>Дефляторы!#REF!</f>
        <v>#REF!</v>
      </c>
      <c r="J6" s="366" t="e">
        <f>J7+J8</f>
        <v>#REF!</v>
      </c>
      <c r="K6" s="366" t="e">
        <f>K7+K8</f>
        <v>#REF!</v>
      </c>
      <c r="L6" s="367"/>
      <c r="M6" s="367"/>
      <c r="N6" s="367"/>
      <c r="O6" s="368">
        <v>44166</v>
      </c>
      <c r="P6" s="368">
        <v>44256</v>
      </c>
      <c r="Q6" s="369">
        <f>P6-O6</f>
        <v>90</v>
      </c>
    </row>
    <row r="7" spans="1:17" s="362" customFormat="1" ht="34.5" customHeight="1" outlineLevel="1" x14ac:dyDescent="0.2">
      <c r="A7" s="282" t="s">
        <v>251</v>
      </c>
      <c r="B7" s="282" t="s">
        <v>66</v>
      </c>
      <c r="C7" s="415" t="s">
        <v>252</v>
      </c>
      <c r="D7" s="359" t="s">
        <v>250</v>
      </c>
      <c r="E7" s="154">
        <v>1</v>
      </c>
      <c r="F7" s="154">
        <f>'Затраты подрядчика'!L103</f>
        <v>2032723</v>
      </c>
      <c r="G7" s="296">
        <f>$G$327</f>
        <v>1.0960000000000001</v>
      </c>
      <c r="H7" s="337">
        <f>F7*G7</f>
        <v>2227864</v>
      </c>
      <c r="I7" s="296" t="e">
        <f>Дефляторы!#REF!</f>
        <v>#REF!</v>
      </c>
      <c r="J7" s="337" t="e">
        <f>H7*I7</f>
        <v>#REF!</v>
      </c>
      <c r="K7" s="337" t="e">
        <f>H7+(J7-H7)*(1-30/100)</f>
        <v>#REF!</v>
      </c>
      <c r="L7" s="360"/>
      <c r="M7" s="360"/>
      <c r="N7" s="360"/>
    </row>
    <row r="8" spans="1:17" s="362" customFormat="1" ht="15.75" hidden="1" outlineLevel="1" x14ac:dyDescent="0.2">
      <c r="A8" s="282" t="s">
        <v>961</v>
      </c>
      <c r="B8" s="283"/>
      <c r="C8" s="283" t="s">
        <v>1209</v>
      </c>
      <c r="D8" s="405"/>
      <c r="E8" s="405"/>
      <c r="F8" s="416">
        <f>F7*2%</f>
        <v>40654</v>
      </c>
      <c r="G8" s="296">
        <f>$G$327</f>
        <v>1.0960000000000001</v>
      </c>
      <c r="H8" s="337">
        <f>F8*G8</f>
        <v>44557</v>
      </c>
      <c r="I8" s="296" t="e">
        <f>Дефляторы!#REF!</f>
        <v>#REF!</v>
      </c>
      <c r="J8" s="337" t="e">
        <f>H8*I8</f>
        <v>#REF!</v>
      </c>
      <c r="K8" s="337" t="e">
        <f>H8+(J8-H8)*(1-30/100)</f>
        <v>#REF!</v>
      </c>
      <c r="L8" s="360"/>
      <c r="M8" s="360"/>
      <c r="N8" s="360"/>
    </row>
    <row r="9" spans="1:17" s="369" customFormat="1" ht="32.450000000000003" customHeight="1" collapsed="1" x14ac:dyDescent="0.2">
      <c r="A9" s="159" t="s">
        <v>253</v>
      </c>
      <c r="B9" s="159"/>
      <c r="C9" s="153" t="s">
        <v>254</v>
      </c>
      <c r="D9" s="297" t="s">
        <v>250</v>
      </c>
      <c r="E9" s="364">
        <v>1</v>
      </c>
      <c r="F9" s="364">
        <f>(F10+F31+F48+F64+F80+F109+F141+F142+F225+F249+F264+F265+F289+F292+F293+F294+F295+F298+F299+F302+F304)</f>
        <v>98144868</v>
      </c>
      <c r="G9" s="365"/>
      <c r="H9" s="366">
        <f>(H10+H31+H48+H64+H80+H109+H141+H142+H225+H249+H264+H265+H289+H292+H293+H294+H295+H298+H299+H302+H304)</f>
        <v>107030990</v>
      </c>
      <c r="I9" s="365"/>
      <c r="J9" s="366">
        <f>(J10+J31+J48+J64+J80+J109+J141+J142+J225+J249+J264+J265+J289+J292+J293+J294+J295+J298+J299+J302+J304)</f>
        <v>111209829</v>
      </c>
      <c r="K9" s="366">
        <f>(K10+K31+K48+K64+K80+K109+K141+K142+K225+K249+K264+K265+K289+K292+K293+K294+K295+K298+K299+K302+K304)</f>
        <v>109956190</v>
      </c>
      <c r="L9" s="367"/>
      <c r="M9" s="367"/>
      <c r="N9" s="367"/>
    </row>
    <row r="10" spans="1:17" s="362" customFormat="1" ht="15.75" customHeight="1" outlineLevel="1" x14ac:dyDescent="0.2">
      <c r="A10" s="363" t="s">
        <v>255</v>
      </c>
      <c r="B10" s="363"/>
      <c r="C10" s="358" t="s">
        <v>966</v>
      </c>
      <c r="D10" s="359" t="s">
        <v>250</v>
      </c>
      <c r="E10" s="154">
        <v>1</v>
      </c>
      <c r="F10" s="154">
        <f>F11+F12</f>
        <v>2566181</v>
      </c>
      <c r="G10" s="296">
        <f t="shared" ref="G10:G16" si="0">$G$327</f>
        <v>1.0960000000000001</v>
      </c>
      <c r="H10" s="337">
        <f>H11+H12</f>
        <v>2812536</v>
      </c>
      <c r="I10" s="296">
        <f>Дефляторы!$D$53</f>
        <v>1.0329999999999999</v>
      </c>
      <c r="J10" s="337">
        <f>J11+J12</f>
        <v>2905350</v>
      </c>
      <c r="K10" s="337">
        <f>K11+K12</f>
        <v>2877508</v>
      </c>
      <c r="L10" s="360"/>
      <c r="M10" s="360"/>
      <c r="N10" s="360"/>
      <c r="O10" s="361">
        <v>44287</v>
      </c>
      <c r="P10" s="361">
        <v>44348</v>
      </c>
      <c r="Q10" s="362">
        <f>P10-O10</f>
        <v>61</v>
      </c>
    </row>
    <row r="11" spans="1:17" s="373" customFormat="1" ht="33.75" hidden="1" customHeight="1" outlineLevel="2" x14ac:dyDescent="0.2">
      <c r="A11" s="208" t="s">
        <v>256</v>
      </c>
      <c r="B11" s="100" t="s">
        <v>20</v>
      </c>
      <c r="C11" s="384" t="s">
        <v>21</v>
      </c>
      <c r="D11" s="317" t="s">
        <v>262</v>
      </c>
      <c r="E11" s="385">
        <f>1483.2</f>
        <v>1483.2</v>
      </c>
      <c r="F11" s="386">
        <f>'Затраты подрядчика'!I30</f>
        <v>34881</v>
      </c>
      <c r="G11" s="299">
        <f t="shared" si="0"/>
        <v>1.0960000000000001</v>
      </c>
      <c r="H11" s="339">
        <f>F11*G11</f>
        <v>38230</v>
      </c>
      <c r="I11" s="299">
        <f>Дефляторы!$D$53</f>
        <v>1.0329999999999999</v>
      </c>
      <c r="J11" s="339">
        <f t="shared" ref="J11:J22" si="1">H11*I11</f>
        <v>39492</v>
      </c>
      <c r="K11" s="339">
        <f>H11+(J11-H11)*(1-30/100)</f>
        <v>39113</v>
      </c>
      <c r="L11" s="372"/>
      <c r="M11" s="372"/>
      <c r="N11" s="372"/>
    </row>
    <row r="12" spans="1:17" s="373" customFormat="1" ht="15.75" hidden="1" outlineLevel="2" x14ac:dyDescent="0.2">
      <c r="A12" s="208" t="s">
        <v>257</v>
      </c>
      <c r="B12" s="100" t="s">
        <v>103</v>
      </c>
      <c r="C12" s="100" t="s">
        <v>104</v>
      </c>
      <c r="D12" s="157" t="s">
        <v>250</v>
      </c>
      <c r="E12" s="277">
        <v>1</v>
      </c>
      <c r="F12" s="277">
        <f>SUM(F13:F30)</f>
        <v>2531300</v>
      </c>
      <c r="G12" s="299">
        <f t="shared" si="0"/>
        <v>1.0960000000000001</v>
      </c>
      <c r="H12" s="339">
        <f>SUM(H13:H30)</f>
        <v>2774306</v>
      </c>
      <c r="I12" s="299">
        <f>Дефляторы!$D$53</f>
        <v>1.0329999999999999</v>
      </c>
      <c r="J12" s="339">
        <f>SUM(J13:J30)</f>
        <v>2865858</v>
      </c>
      <c r="K12" s="339">
        <f>SUM(K13:K30)</f>
        <v>2838395</v>
      </c>
      <c r="L12" s="372"/>
      <c r="M12" s="372"/>
      <c r="N12" s="372"/>
    </row>
    <row r="13" spans="1:17" s="390" customFormat="1" ht="38.25" hidden="1" outlineLevel="3" x14ac:dyDescent="0.2">
      <c r="A13" s="191" t="s">
        <v>1210</v>
      </c>
      <c r="B13" s="132" t="s">
        <v>682</v>
      </c>
      <c r="C13" s="132" t="s">
        <v>706</v>
      </c>
      <c r="D13" s="315" t="s">
        <v>262</v>
      </c>
      <c r="E13" s="233">
        <v>618</v>
      </c>
      <c r="F13" s="233">
        <f>(6133+5563)*1.005*6.99</f>
        <v>82164</v>
      </c>
      <c r="G13" s="387">
        <f t="shared" si="0"/>
        <v>1.0960000000000001</v>
      </c>
      <c r="H13" s="388">
        <f>F13*G13</f>
        <v>90052</v>
      </c>
      <c r="I13" s="387">
        <f>Дефляторы!$D$53</f>
        <v>1.0329999999999999</v>
      </c>
      <c r="J13" s="388">
        <f t="shared" si="1"/>
        <v>93024</v>
      </c>
      <c r="K13" s="388">
        <f>H13+(J13-H13)*(1-30/100)</f>
        <v>92132</v>
      </c>
      <c r="L13" s="389" t="s">
        <v>684</v>
      </c>
      <c r="M13" s="194"/>
      <c r="N13" s="194"/>
    </row>
    <row r="14" spans="1:17" s="390" customFormat="1" ht="51" hidden="1" outlineLevel="3" x14ac:dyDescent="0.2">
      <c r="A14" s="191" t="s">
        <v>1211</v>
      </c>
      <c r="B14" s="132" t="s">
        <v>683</v>
      </c>
      <c r="C14" s="132" t="s">
        <v>704</v>
      </c>
      <c r="D14" s="315" t="s">
        <v>271</v>
      </c>
      <c r="E14" s="233">
        <v>2060</v>
      </c>
      <c r="F14" s="233">
        <f>722*1.005*6.99</f>
        <v>5072</v>
      </c>
      <c r="G14" s="387">
        <f t="shared" si="0"/>
        <v>1.0960000000000001</v>
      </c>
      <c r="H14" s="388">
        <f t="shared" ref="H14:H16" si="2">F14*G14</f>
        <v>5559</v>
      </c>
      <c r="I14" s="387">
        <f>Дефляторы!$D$53</f>
        <v>1.0329999999999999</v>
      </c>
      <c r="J14" s="388">
        <f t="shared" si="1"/>
        <v>5742</v>
      </c>
      <c r="K14" s="388">
        <f t="shared" ref="K14:K22" si="3">H14+(J14-H14)*(1-30/100)</f>
        <v>5687</v>
      </c>
      <c r="L14" s="389" t="s">
        <v>1384</v>
      </c>
      <c r="M14" s="194"/>
      <c r="N14" s="194"/>
    </row>
    <row r="15" spans="1:17" s="390" customFormat="1" ht="38.25" hidden="1" outlineLevel="3" x14ac:dyDescent="0.2">
      <c r="A15" s="191" t="s">
        <v>1212</v>
      </c>
      <c r="B15" s="132" t="s">
        <v>685</v>
      </c>
      <c r="C15" s="132" t="s">
        <v>707</v>
      </c>
      <c r="D15" s="315" t="s">
        <v>262</v>
      </c>
      <c r="E15" s="233">
        <v>618</v>
      </c>
      <c r="F15" s="233">
        <f>(7275+4308)*1.005*6.99</f>
        <v>81370</v>
      </c>
      <c r="G15" s="387">
        <f t="shared" si="0"/>
        <v>1.0960000000000001</v>
      </c>
      <c r="H15" s="388">
        <f t="shared" si="2"/>
        <v>89182</v>
      </c>
      <c r="I15" s="387">
        <f>Дефляторы!$D$53</f>
        <v>1.0329999999999999</v>
      </c>
      <c r="J15" s="388">
        <f t="shared" si="1"/>
        <v>92125</v>
      </c>
      <c r="K15" s="388">
        <f t="shared" si="3"/>
        <v>91242</v>
      </c>
      <c r="L15" s="389" t="s">
        <v>708</v>
      </c>
      <c r="M15" s="194"/>
      <c r="N15" s="194"/>
    </row>
    <row r="16" spans="1:17" s="390" customFormat="1" ht="127.5" hidden="1" outlineLevel="3" x14ac:dyDescent="0.2">
      <c r="A16" s="191" t="s">
        <v>1213</v>
      </c>
      <c r="B16" s="132" t="s">
        <v>686</v>
      </c>
      <c r="C16" s="132" t="s">
        <v>688</v>
      </c>
      <c r="D16" s="315" t="s">
        <v>363</v>
      </c>
      <c r="E16" s="233">
        <v>1508</v>
      </c>
      <c r="F16" s="233">
        <f>(168833+104655+32942+26346)*1.005*6.99-1</f>
        <v>2337734</v>
      </c>
      <c r="G16" s="387">
        <f t="shared" si="0"/>
        <v>1.0960000000000001</v>
      </c>
      <c r="H16" s="388">
        <f t="shared" si="2"/>
        <v>2562156</v>
      </c>
      <c r="I16" s="387">
        <f>Дефляторы!$D$53</f>
        <v>1.0329999999999999</v>
      </c>
      <c r="J16" s="388">
        <f t="shared" si="1"/>
        <v>2646707</v>
      </c>
      <c r="K16" s="388">
        <f t="shared" si="3"/>
        <v>2621342</v>
      </c>
      <c r="L16" s="389" t="s">
        <v>687</v>
      </c>
      <c r="M16" s="194"/>
      <c r="N16" s="194"/>
    </row>
    <row r="17" spans="1:14" s="390" customFormat="1" ht="15.75" hidden="1" outlineLevel="3" x14ac:dyDescent="0.2">
      <c r="A17" s="191"/>
      <c r="B17" s="132"/>
      <c r="C17" s="132" t="s">
        <v>689</v>
      </c>
      <c r="D17" s="315"/>
      <c r="E17" s="233"/>
      <c r="F17" s="233"/>
      <c r="G17" s="387"/>
      <c r="H17" s="391"/>
      <c r="I17" s="387">
        <f>Дефляторы!$D$53</f>
        <v>1.0329999999999999</v>
      </c>
      <c r="J17" s="391">
        <f t="shared" si="1"/>
        <v>0</v>
      </c>
      <c r="K17" s="391">
        <f t="shared" si="3"/>
        <v>0</v>
      </c>
      <c r="L17" s="194"/>
      <c r="M17" s="194"/>
      <c r="N17" s="194"/>
    </row>
    <row r="18" spans="1:14" s="390" customFormat="1" ht="15.75" hidden="1" outlineLevel="3" x14ac:dyDescent="0.2">
      <c r="A18" s="191" t="s">
        <v>1214</v>
      </c>
      <c r="B18" s="132" t="s">
        <v>690</v>
      </c>
      <c r="C18" s="132" t="s">
        <v>696</v>
      </c>
      <c r="D18" s="315" t="s">
        <v>271</v>
      </c>
      <c r="E18" s="233">
        <v>600</v>
      </c>
      <c r="F18" s="233">
        <f>919*1.005*6.99</f>
        <v>6456</v>
      </c>
      <c r="G18" s="387">
        <f>$G$327</f>
        <v>1.0960000000000001</v>
      </c>
      <c r="H18" s="388">
        <f t="shared" ref="H18" si="4">F18*G18</f>
        <v>7076</v>
      </c>
      <c r="I18" s="387">
        <f>Дефляторы!$D$53</f>
        <v>1.0329999999999999</v>
      </c>
      <c r="J18" s="388">
        <f t="shared" si="1"/>
        <v>7310</v>
      </c>
      <c r="K18" s="388">
        <f t="shared" si="3"/>
        <v>7240</v>
      </c>
      <c r="L18" s="194"/>
      <c r="M18" s="194"/>
      <c r="N18" s="194"/>
    </row>
    <row r="19" spans="1:14" s="390" customFormat="1" ht="15.75" hidden="1" outlineLevel="3" x14ac:dyDescent="0.2">
      <c r="A19" s="191"/>
      <c r="B19" s="132"/>
      <c r="C19" s="132" t="s">
        <v>691</v>
      </c>
      <c r="D19" s="315"/>
      <c r="E19" s="233"/>
      <c r="F19" s="233"/>
      <c r="G19" s="387"/>
      <c r="H19" s="388"/>
      <c r="I19" s="387">
        <f>Дефляторы!$D$53</f>
        <v>1.0329999999999999</v>
      </c>
      <c r="J19" s="388">
        <f t="shared" si="1"/>
        <v>0</v>
      </c>
      <c r="K19" s="388">
        <f t="shared" si="3"/>
        <v>0</v>
      </c>
      <c r="L19" s="194"/>
      <c r="M19" s="194"/>
      <c r="N19" s="194"/>
    </row>
    <row r="20" spans="1:14" s="390" customFormat="1" ht="15.75" hidden="1" outlineLevel="3" x14ac:dyDescent="0.2">
      <c r="A20" s="191" t="s">
        <v>1215</v>
      </c>
      <c r="B20" s="132" t="s">
        <v>692</v>
      </c>
      <c r="C20" s="132" t="s">
        <v>696</v>
      </c>
      <c r="D20" s="315" t="s">
        <v>271</v>
      </c>
      <c r="E20" s="233">
        <v>450</v>
      </c>
      <c r="F20" s="233">
        <f>689*1.005*6.99</f>
        <v>4840</v>
      </c>
      <c r="G20" s="387">
        <f>$G$327</f>
        <v>1.0960000000000001</v>
      </c>
      <c r="H20" s="388">
        <f t="shared" ref="H20" si="5">F20*G20</f>
        <v>5305</v>
      </c>
      <c r="I20" s="387">
        <f>Дефляторы!$D$53</f>
        <v>1.0329999999999999</v>
      </c>
      <c r="J20" s="388">
        <f t="shared" si="1"/>
        <v>5480</v>
      </c>
      <c r="K20" s="388">
        <f t="shared" si="3"/>
        <v>5428</v>
      </c>
      <c r="L20" s="194"/>
      <c r="M20" s="194"/>
      <c r="N20" s="194"/>
    </row>
    <row r="21" spans="1:14" s="390" customFormat="1" ht="15.75" hidden="1" outlineLevel="3" x14ac:dyDescent="0.2">
      <c r="A21" s="191"/>
      <c r="B21" s="132"/>
      <c r="C21" s="132" t="s">
        <v>693</v>
      </c>
      <c r="D21" s="315"/>
      <c r="E21" s="233"/>
      <c r="F21" s="233"/>
      <c r="G21" s="387"/>
      <c r="H21" s="388"/>
      <c r="I21" s="387">
        <f>Дефляторы!$D$53</f>
        <v>1.0329999999999999</v>
      </c>
      <c r="J21" s="388">
        <f t="shared" si="1"/>
        <v>0</v>
      </c>
      <c r="K21" s="388">
        <f t="shared" si="3"/>
        <v>0</v>
      </c>
      <c r="L21" s="194"/>
      <c r="M21" s="194"/>
      <c r="N21" s="194"/>
    </row>
    <row r="22" spans="1:14" s="390" customFormat="1" ht="15.75" hidden="1" outlineLevel="3" x14ac:dyDescent="0.2">
      <c r="A22" s="191" t="s">
        <v>1216</v>
      </c>
      <c r="B22" s="132" t="s">
        <v>694</v>
      </c>
      <c r="C22" s="132" t="s">
        <v>696</v>
      </c>
      <c r="D22" s="315" t="s">
        <v>271</v>
      </c>
      <c r="E22" s="233">
        <v>450</v>
      </c>
      <c r="F22" s="233">
        <f>689*1.005*6.99</f>
        <v>4840</v>
      </c>
      <c r="G22" s="387">
        <f>$G$327</f>
        <v>1.0960000000000001</v>
      </c>
      <c r="H22" s="388">
        <f t="shared" ref="H22" si="6">F22*G22</f>
        <v>5305</v>
      </c>
      <c r="I22" s="387">
        <f>Дефляторы!$D$53</f>
        <v>1.0329999999999999</v>
      </c>
      <c r="J22" s="388">
        <f t="shared" si="1"/>
        <v>5480</v>
      </c>
      <c r="K22" s="388">
        <f t="shared" si="3"/>
        <v>5428</v>
      </c>
      <c r="L22" s="194"/>
      <c r="M22" s="194"/>
      <c r="N22" s="194"/>
    </row>
    <row r="23" spans="1:14" s="390" customFormat="1" ht="15.75" hidden="1" outlineLevel="3" x14ac:dyDescent="0.2">
      <c r="A23" s="191"/>
      <c r="B23" s="132"/>
      <c r="C23" s="132" t="s">
        <v>695</v>
      </c>
      <c r="D23" s="315"/>
      <c r="E23" s="233"/>
      <c r="F23" s="233"/>
      <c r="G23" s="387"/>
      <c r="H23" s="388"/>
      <c r="I23" s="387">
        <f>Дефляторы!$D$53</f>
        <v>1.0329999999999999</v>
      </c>
      <c r="J23" s="388">
        <f>H23*I23</f>
        <v>0</v>
      </c>
      <c r="K23" s="388">
        <f>H23+(J23-H23)*(1-30/100)</f>
        <v>0</v>
      </c>
      <c r="L23" s="194"/>
      <c r="M23" s="194"/>
      <c r="N23" s="194"/>
    </row>
    <row r="24" spans="1:14" s="390" customFormat="1" ht="15.75" hidden="1" outlineLevel="3" x14ac:dyDescent="0.2">
      <c r="A24" s="191" t="s">
        <v>1217</v>
      </c>
      <c r="B24" s="132" t="s">
        <v>697</v>
      </c>
      <c r="C24" s="132" t="s">
        <v>696</v>
      </c>
      <c r="D24" s="315" t="s">
        <v>271</v>
      </c>
      <c r="E24" s="233">
        <v>200</v>
      </c>
      <c r="F24" s="233">
        <f>307*1.005*6.99</f>
        <v>2157</v>
      </c>
      <c r="G24" s="387">
        <f>$G$327</f>
        <v>1.0960000000000001</v>
      </c>
      <c r="H24" s="388">
        <f t="shared" ref="H24" si="7">F24*G24</f>
        <v>2364</v>
      </c>
      <c r="I24" s="387">
        <f>Дефляторы!$D$53</f>
        <v>1.0329999999999999</v>
      </c>
      <c r="J24" s="388">
        <f>H24*I24</f>
        <v>2442</v>
      </c>
      <c r="K24" s="388">
        <f>H24+(J24-H24)*(1-30/100)</f>
        <v>2419</v>
      </c>
      <c r="L24" s="194"/>
      <c r="M24" s="194"/>
      <c r="N24" s="194"/>
    </row>
    <row r="25" spans="1:14" s="390" customFormat="1" ht="15.75" hidden="1" outlineLevel="3" x14ac:dyDescent="0.2">
      <c r="A25" s="191"/>
      <c r="B25" s="132"/>
      <c r="C25" s="132" t="s">
        <v>698</v>
      </c>
      <c r="D25" s="315"/>
      <c r="E25" s="233"/>
      <c r="F25" s="194"/>
      <c r="G25" s="387"/>
      <c r="H25" s="388"/>
      <c r="I25" s="387">
        <f>Дефляторы!$D$53</f>
        <v>1.0329999999999999</v>
      </c>
      <c r="J25" s="388">
        <f t="shared" ref="J25:J30" si="8">H25*I25</f>
        <v>0</v>
      </c>
      <c r="K25" s="388">
        <f>H25+(J25-H25)*(1-30/100)</f>
        <v>0</v>
      </c>
      <c r="L25" s="194"/>
      <c r="M25" s="194"/>
      <c r="N25" s="194"/>
    </row>
    <row r="26" spans="1:14" s="390" customFormat="1" ht="15.75" hidden="1" outlineLevel="3" x14ac:dyDescent="0.2">
      <c r="A26" s="191" t="s">
        <v>1218</v>
      </c>
      <c r="B26" s="132" t="s">
        <v>699</v>
      </c>
      <c r="C26" s="132" t="s">
        <v>696</v>
      </c>
      <c r="D26" s="315" t="s">
        <v>271</v>
      </c>
      <c r="E26" s="233">
        <v>200</v>
      </c>
      <c r="F26" s="233">
        <f>307*1.005*6.99</f>
        <v>2157</v>
      </c>
      <c r="G26" s="387">
        <f>$G$327</f>
        <v>1.0960000000000001</v>
      </c>
      <c r="H26" s="388">
        <f t="shared" ref="H26" si="9">F26*G26</f>
        <v>2364</v>
      </c>
      <c r="I26" s="387">
        <f>Дефляторы!$D$53</f>
        <v>1.0329999999999999</v>
      </c>
      <c r="J26" s="388">
        <f t="shared" si="8"/>
        <v>2442</v>
      </c>
      <c r="K26" s="388">
        <f>H26+(J26-H26)*(1-30/100)</f>
        <v>2419</v>
      </c>
      <c r="L26" s="194"/>
      <c r="M26" s="194"/>
      <c r="N26" s="194"/>
    </row>
    <row r="27" spans="1:14" s="390" customFormat="1" ht="15.75" hidden="1" outlineLevel="3" x14ac:dyDescent="0.2">
      <c r="A27" s="191"/>
      <c r="B27" s="132"/>
      <c r="C27" s="132" t="s">
        <v>700</v>
      </c>
      <c r="D27" s="315"/>
      <c r="E27" s="233"/>
      <c r="F27" s="233"/>
      <c r="G27" s="194"/>
      <c r="H27" s="392"/>
      <c r="I27" s="194">
        <f>Дефляторы!$D$53</f>
        <v>1.0329999999999999</v>
      </c>
      <c r="J27" s="392">
        <f t="shared" si="8"/>
        <v>0</v>
      </c>
      <c r="K27" s="392"/>
      <c r="L27" s="194"/>
      <c r="M27" s="194"/>
      <c r="N27" s="194"/>
    </row>
    <row r="28" spans="1:14" s="390" customFormat="1" ht="15.75" hidden="1" outlineLevel="3" x14ac:dyDescent="0.2">
      <c r="A28" s="191" t="s">
        <v>1219</v>
      </c>
      <c r="B28" s="132" t="s">
        <v>701</v>
      </c>
      <c r="C28" s="132" t="s">
        <v>696</v>
      </c>
      <c r="D28" s="315" t="s">
        <v>271</v>
      </c>
      <c r="E28" s="233">
        <v>245</v>
      </c>
      <c r="F28" s="233">
        <f>375*1.005*6.99</f>
        <v>2634</v>
      </c>
      <c r="G28" s="387">
        <f>$G$327</f>
        <v>1.0960000000000001</v>
      </c>
      <c r="H28" s="388">
        <f t="shared" ref="H28" si="10">F28*G28</f>
        <v>2887</v>
      </c>
      <c r="I28" s="387">
        <f>Дефляторы!$D$53</f>
        <v>1.0329999999999999</v>
      </c>
      <c r="J28" s="388">
        <f t="shared" si="8"/>
        <v>2982</v>
      </c>
      <c r="K28" s="388">
        <f>H28+(J28-H28)*(1-30/100)</f>
        <v>2954</v>
      </c>
      <c r="L28" s="194"/>
      <c r="M28" s="194"/>
      <c r="N28" s="194"/>
    </row>
    <row r="29" spans="1:14" s="390" customFormat="1" ht="15.75" hidden="1" outlineLevel="3" x14ac:dyDescent="0.2">
      <c r="A29" s="191"/>
      <c r="B29" s="132"/>
      <c r="C29" s="132" t="s">
        <v>702</v>
      </c>
      <c r="D29" s="315"/>
      <c r="E29" s="233"/>
      <c r="F29" s="233"/>
      <c r="G29" s="194"/>
      <c r="H29" s="392"/>
      <c r="I29" s="194">
        <f>Дефляторы!$D$53</f>
        <v>1.0329999999999999</v>
      </c>
      <c r="J29" s="392">
        <f t="shared" si="8"/>
        <v>0</v>
      </c>
      <c r="K29" s="392"/>
      <c r="L29" s="194"/>
      <c r="M29" s="194"/>
      <c r="N29" s="194"/>
    </row>
    <row r="30" spans="1:14" s="390" customFormat="1" ht="15.75" hidden="1" outlineLevel="3" x14ac:dyDescent="0.2">
      <c r="A30" s="191" t="s">
        <v>1220</v>
      </c>
      <c r="B30" s="132" t="s">
        <v>703</v>
      </c>
      <c r="C30" s="132" t="s">
        <v>696</v>
      </c>
      <c r="D30" s="315" t="s">
        <v>271</v>
      </c>
      <c r="E30" s="233">
        <v>175</v>
      </c>
      <c r="F30" s="233">
        <f>267*1.005*6.99</f>
        <v>1876</v>
      </c>
      <c r="G30" s="387">
        <f>$G$327</f>
        <v>1.0960000000000001</v>
      </c>
      <c r="H30" s="388">
        <f t="shared" ref="H30" si="11">F30*G30</f>
        <v>2056</v>
      </c>
      <c r="I30" s="387">
        <f>Дефляторы!$D$53</f>
        <v>1.0329999999999999</v>
      </c>
      <c r="J30" s="388">
        <f t="shared" si="8"/>
        <v>2124</v>
      </c>
      <c r="K30" s="388">
        <f>H30+(J30-H30)*(1-30/100)</f>
        <v>2104</v>
      </c>
      <c r="L30" s="194"/>
      <c r="M30" s="194"/>
      <c r="N30" s="194"/>
    </row>
    <row r="31" spans="1:14" s="362" customFormat="1" ht="31.5" outlineLevel="1" collapsed="1" x14ac:dyDescent="0.2">
      <c r="A31" s="363" t="s">
        <v>259</v>
      </c>
      <c r="B31" s="363"/>
      <c r="C31" s="370" t="s">
        <v>968</v>
      </c>
      <c r="D31" s="359" t="s">
        <v>250</v>
      </c>
      <c r="E31" s="154">
        <v>1</v>
      </c>
      <c r="F31" s="154">
        <f>SUM(F32:F47)</f>
        <v>5903129</v>
      </c>
      <c r="G31" s="296">
        <f>$G$327</f>
        <v>1.0960000000000001</v>
      </c>
      <c r="H31" s="337">
        <f>SUM(H32:H47)</f>
        <v>6469830</v>
      </c>
      <c r="I31" s="296">
        <f>Дефляторы!$D$62</f>
        <v>1.038</v>
      </c>
      <c r="J31" s="337">
        <f>SUM(J32:J47)</f>
        <v>6715682</v>
      </c>
      <c r="K31" s="337">
        <f>SUM(K32:K47)</f>
        <v>6641926</v>
      </c>
      <c r="L31" s="154"/>
      <c r="M31" s="360"/>
      <c r="N31" s="360"/>
    </row>
    <row r="32" spans="1:14" s="373" customFormat="1" ht="15.75" hidden="1" outlineLevel="2" x14ac:dyDescent="0.2">
      <c r="A32" s="208"/>
      <c r="B32" s="100"/>
      <c r="C32" s="393" t="s">
        <v>279</v>
      </c>
      <c r="D32" s="157"/>
      <c r="E32" s="277"/>
      <c r="F32" s="277"/>
      <c r="G32" s="299"/>
      <c r="H32" s="339"/>
      <c r="I32" s="299">
        <f>Дефляторы!$D$62</f>
        <v>1.038</v>
      </c>
      <c r="J32" s="339"/>
      <c r="K32" s="339"/>
      <c r="L32" s="372"/>
      <c r="M32" s="372"/>
      <c r="N32" s="372"/>
    </row>
    <row r="33" spans="1:14" s="373" customFormat="1" ht="15.75" hidden="1" outlineLevel="2" x14ac:dyDescent="0.2">
      <c r="A33" s="208"/>
      <c r="B33" s="100"/>
      <c r="C33" s="267" t="s">
        <v>971</v>
      </c>
      <c r="D33" s="157"/>
      <c r="E33" s="277"/>
      <c r="F33" s="277"/>
      <c r="G33" s="394"/>
      <c r="H33" s="395"/>
      <c r="I33" s="394">
        <f>Дефляторы!$D$62</f>
        <v>1.038</v>
      </c>
      <c r="J33" s="395"/>
      <c r="K33" s="395"/>
      <c r="L33" s="372"/>
      <c r="M33" s="372"/>
      <c r="N33" s="372"/>
    </row>
    <row r="34" spans="1:14" s="373" customFormat="1" ht="25.5" hidden="1" outlineLevel="2" x14ac:dyDescent="0.2">
      <c r="A34" s="208" t="s">
        <v>260</v>
      </c>
      <c r="B34" s="100" t="s">
        <v>341</v>
      </c>
      <c r="C34" s="100" t="s">
        <v>265</v>
      </c>
      <c r="D34" s="157" t="s">
        <v>262</v>
      </c>
      <c r="E34" s="277">
        <v>2251</v>
      </c>
      <c r="F34" s="277">
        <f>2251/6243*1244910*(1.023*1.005-2.3%*15%)*6.99-7</f>
        <v>3214980</v>
      </c>
      <c r="G34" s="299">
        <f>$G$327</f>
        <v>1.0960000000000001</v>
      </c>
      <c r="H34" s="339">
        <f t="shared" ref="H34:H38" si="12">F34*G34</f>
        <v>3523618</v>
      </c>
      <c r="I34" s="299">
        <f>Дефляторы!$D$62</f>
        <v>1.038</v>
      </c>
      <c r="J34" s="339">
        <f>H34*I34</f>
        <v>3657515</v>
      </c>
      <c r="K34" s="339">
        <f>H34+(J34-H34)*(1-30/100)</f>
        <v>3617346</v>
      </c>
      <c r="L34" s="372"/>
      <c r="M34" s="372"/>
      <c r="N34" s="372"/>
    </row>
    <row r="35" spans="1:14" s="373" customFormat="1" ht="15.75" hidden="1" outlineLevel="2" x14ac:dyDescent="0.2">
      <c r="A35" s="208" t="s">
        <v>276</v>
      </c>
      <c r="B35" s="100" t="s">
        <v>1229</v>
      </c>
      <c r="C35" s="100" t="s">
        <v>340</v>
      </c>
      <c r="D35" s="157" t="s">
        <v>262</v>
      </c>
      <c r="E35" s="277">
        <v>2251</v>
      </c>
      <c r="F35" s="277">
        <f>2251/6243*(68858+88564)*(1.023*1.005-2.3%*15%)*6.99</f>
        <v>406543</v>
      </c>
      <c r="G35" s="299">
        <f>$G$327</f>
        <v>1.0960000000000001</v>
      </c>
      <c r="H35" s="339">
        <f t="shared" si="12"/>
        <v>445571</v>
      </c>
      <c r="I35" s="299">
        <f>Дефляторы!$D$62</f>
        <v>1.038</v>
      </c>
      <c r="J35" s="339">
        <f t="shared" ref="J35:J47" si="13">H35*I35</f>
        <v>462503</v>
      </c>
      <c r="K35" s="339">
        <f>H35+(J35-H35)*(1-30/100)</f>
        <v>457423</v>
      </c>
      <c r="L35" s="372"/>
      <c r="M35" s="372"/>
      <c r="N35" s="372"/>
    </row>
    <row r="36" spans="1:14" s="379" customFormat="1" ht="25.5" hidden="1" outlineLevel="2" x14ac:dyDescent="0.2">
      <c r="A36" s="312" t="s">
        <v>315</v>
      </c>
      <c r="B36" s="171" t="s">
        <v>1230</v>
      </c>
      <c r="C36" s="171" t="s">
        <v>1231</v>
      </c>
      <c r="D36" s="316" t="s">
        <v>262</v>
      </c>
      <c r="E36" s="313">
        <f>312.2*2251/6243</f>
        <v>112.6</v>
      </c>
      <c r="F36" s="170">
        <f>2251/6243*(20383+3443)*(1.023*1.005-2.3%*15%)*6.99</f>
        <v>61531</v>
      </c>
      <c r="G36" s="376">
        <f>$G$327</f>
        <v>1.0960000000000001</v>
      </c>
      <c r="H36" s="377">
        <f t="shared" si="12"/>
        <v>67438</v>
      </c>
      <c r="I36" s="376">
        <f>Дефляторы!$D$62</f>
        <v>1.038</v>
      </c>
      <c r="J36" s="377">
        <f t="shared" si="13"/>
        <v>70001</v>
      </c>
      <c r="K36" s="377">
        <f t="shared" ref="K36:K47" si="14">H36+(J36-H36)*(1-30/100)</f>
        <v>69232</v>
      </c>
      <c r="L36" s="378" t="s">
        <v>1232</v>
      </c>
      <c r="M36" s="396"/>
      <c r="N36" s="378"/>
    </row>
    <row r="37" spans="1:14" s="379" customFormat="1" ht="15.75" hidden="1" outlineLevel="2" x14ac:dyDescent="0.2">
      <c r="A37" s="312" t="s">
        <v>324</v>
      </c>
      <c r="B37" s="171" t="s">
        <v>1222</v>
      </c>
      <c r="C37" s="171" t="s">
        <v>1223</v>
      </c>
      <c r="D37" s="316" t="s">
        <v>262</v>
      </c>
      <c r="E37" s="313">
        <f>312.2*2251/6243</f>
        <v>112.6</v>
      </c>
      <c r="F37" s="170">
        <f>2251/6243*(9563)*(1.023*1.005-2.3%*15%)*6.99</f>
        <v>24696</v>
      </c>
      <c r="G37" s="376">
        <f>$G$327</f>
        <v>1.0960000000000001</v>
      </c>
      <c r="H37" s="377">
        <f t="shared" si="12"/>
        <v>27067</v>
      </c>
      <c r="I37" s="376">
        <f>Дефляторы!$D$62</f>
        <v>1.038</v>
      </c>
      <c r="J37" s="377">
        <f t="shared" si="13"/>
        <v>28096</v>
      </c>
      <c r="K37" s="377">
        <f t="shared" si="14"/>
        <v>27787</v>
      </c>
      <c r="L37" s="378" t="s">
        <v>1232</v>
      </c>
      <c r="M37" s="378"/>
      <c r="N37" s="378"/>
    </row>
    <row r="38" spans="1:14" s="373" customFormat="1" ht="15.75" hidden="1" outlineLevel="2" x14ac:dyDescent="0.2">
      <c r="A38" s="208" t="s">
        <v>1032</v>
      </c>
      <c r="B38" s="100" t="s">
        <v>1221</v>
      </c>
      <c r="C38" s="100" t="s">
        <v>343</v>
      </c>
      <c r="D38" s="157" t="s">
        <v>262</v>
      </c>
      <c r="E38" s="277">
        <v>2059</v>
      </c>
      <c r="F38" s="277">
        <f>2059/5865*(20459+14414+61608)*(1.023*1.005-2.3%*15%)*6.99</f>
        <v>242599</v>
      </c>
      <c r="G38" s="299">
        <f>$G$327</f>
        <v>1.0960000000000001</v>
      </c>
      <c r="H38" s="339">
        <f t="shared" si="12"/>
        <v>265889</v>
      </c>
      <c r="I38" s="299">
        <f>Дефляторы!$D$62</f>
        <v>1.038</v>
      </c>
      <c r="J38" s="339">
        <f t="shared" si="13"/>
        <v>275993</v>
      </c>
      <c r="K38" s="339">
        <f t="shared" si="14"/>
        <v>272962</v>
      </c>
      <c r="L38" s="372" t="s">
        <v>344</v>
      </c>
      <c r="M38" s="372"/>
      <c r="N38" s="372"/>
    </row>
    <row r="39" spans="1:14" s="373" customFormat="1" ht="15.75" hidden="1" outlineLevel="2" x14ac:dyDescent="0.2">
      <c r="A39" s="208"/>
      <c r="B39" s="100"/>
      <c r="C39" s="267" t="s">
        <v>970</v>
      </c>
      <c r="D39" s="157"/>
      <c r="E39" s="277"/>
      <c r="F39" s="277"/>
      <c r="G39" s="397"/>
      <c r="H39" s="339"/>
      <c r="I39" s="397">
        <f>Дефляторы!$D$62</f>
        <v>1.038</v>
      </c>
      <c r="J39" s="339">
        <f t="shared" si="13"/>
        <v>0</v>
      </c>
      <c r="K39" s="339">
        <f t="shared" si="14"/>
        <v>0</v>
      </c>
      <c r="L39" s="372"/>
      <c r="M39" s="372"/>
      <c r="N39" s="372"/>
    </row>
    <row r="40" spans="1:14" s="373" customFormat="1" ht="25.5" hidden="1" outlineLevel="2" x14ac:dyDescent="0.2">
      <c r="A40" s="208" t="s">
        <v>1033</v>
      </c>
      <c r="B40" s="100" t="s">
        <v>422</v>
      </c>
      <c r="C40" s="100" t="s">
        <v>265</v>
      </c>
      <c r="D40" s="157" t="s">
        <v>262</v>
      </c>
      <c r="E40" s="382">
        <f>25.8</f>
        <v>25.8</v>
      </c>
      <c r="F40" s="277">
        <f>5145*(1.023*1.005-2.3%*15%)*6.99+35</f>
        <v>36886</v>
      </c>
      <c r="G40" s="299">
        <f t="shared" ref="G40:G48" si="15">$G$327</f>
        <v>1.0960000000000001</v>
      </c>
      <c r="H40" s="339">
        <f t="shared" ref="H40:H103" si="16">F40*G40</f>
        <v>40427</v>
      </c>
      <c r="I40" s="299">
        <f>Дефляторы!$D$62</f>
        <v>1.038</v>
      </c>
      <c r="J40" s="339">
        <f t="shared" si="13"/>
        <v>41963</v>
      </c>
      <c r="K40" s="339">
        <f t="shared" si="14"/>
        <v>41502</v>
      </c>
      <c r="L40" s="372"/>
      <c r="M40" s="372"/>
      <c r="N40" s="372"/>
    </row>
    <row r="41" spans="1:14" s="373" customFormat="1" ht="15.75" hidden="1" outlineLevel="2" x14ac:dyDescent="0.2">
      <c r="A41" s="208" t="s">
        <v>1034</v>
      </c>
      <c r="B41" s="100" t="s">
        <v>421</v>
      </c>
      <c r="C41" s="100" t="s">
        <v>418</v>
      </c>
      <c r="D41" s="157" t="s">
        <v>262</v>
      </c>
      <c r="E41" s="382">
        <f>10.3</f>
        <v>10.3</v>
      </c>
      <c r="F41" s="277">
        <f>132*(1.023*1.005-2.3%*15%)*6.99</f>
        <v>945</v>
      </c>
      <c r="G41" s="299">
        <f t="shared" si="15"/>
        <v>1.0960000000000001</v>
      </c>
      <c r="H41" s="339">
        <f t="shared" si="16"/>
        <v>1036</v>
      </c>
      <c r="I41" s="299">
        <f>Дефляторы!$D$62</f>
        <v>1.038</v>
      </c>
      <c r="J41" s="339">
        <f t="shared" si="13"/>
        <v>1075</v>
      </c>
      <c r="K41" s="339">
        <f t="shared" si="14"/>
        <v>1063</v>
      </c>
      <c r="L41" s="372"/>
      <c r="M41" s="398"/>
      <c r="N41" s="372"/>
    </row>
    <row r="42" spans="1:14" s="373" customFormat="1" ht="25.5" hidden="1" outlineLevel="2" x14ac:dyDescent="0.2">
      <c r="A42" s="208" t="s">
        <v>1035</v>
      </c>
      <c r="B42" s="100" t="s">
        <v>420</v>
      </c>
      <c r="C42" s="100" t="s">
        <v>419</v>
      </c>
      <c r="D42" s="157" t="s">
        <v>262</v>
      </c>
      <c r="E42" s="382">
        <f>15.5</f>
        <v>15.5</v>
      </c>
      <c r="F42" s="277">
        <f>(248+140+28)*(1.023*1.005-2.3%*15%)*6.99</f>
        <v>2980</v>
      </c>
      <c r="G42" s="299">
        <f t="shared" si="15"/>
        <v>1.0960000000000001</v>
      </c>
      <c r="H42" s="339">
        <f t="shared" si="16"/>
        <v>3266</v>
      </c>
      <c r="I42" s="299">
        <f>Дефляторы!$D$62</f>
        <v>1.038</v>
      </c>
      <c r="J42" s="339">
        <f t="shared" si="13"/>
        <v>3390</v>
      </c>
      <c r="K42" s="339">
        <f t="shared" si="14"/>
        <v>3353</v>
      </c>
      <c r="L42" s="372"/>
      <c r="M42" s="398"/>
      <c r="N42" s="372"/>
    </row>
    <row r="43" spans="1:14" s="373" customFormat="1" ht="15.75" hidden="1" outlineLevel="2" x14ac:dyDescent="0.2">
      <c r="A43" s="208" t="s">
        <v>1036</v>
      </c>
      <c r="B43" s="100" t="s">
        <v>423</v>
      </c>
      <c r="C43" s="100" t="s">
        <v>343</v>
      </c>
      <c r="D43" s="157" t="s">
        <v>262</v>
      </c>
      <c r="E43" s="382">
        <f>10.3</f>
        <v>10.3</v>
      </c>
      <c r="F43" s="277">
        <f>(30+102)*(1.023*1.005-2.3%*15%)*6.99</f>
        <v>945</v>
      </c>
      <c r="G43" s="299">
        <f t="shared" si="15"/>
        <v>1.0960000000000001</v>
      </c>
      <c r="H43" s="339">
        <f t="shared" si="16"/>
        <v>1036</v>
      </c>
      <c r="I43" s="299">
        <f>Дефляторы!$D$62</f>
        <v>1.038</v>
      </c>
      <c r="J43" s="339">
        <f t="shared" si="13"/>
        <v>1075</v>
      </c>
      <c r="K43" s="339">
        <f t="shared" si="14"/>
        <v>1063</v>
      </c>
      <c r="L43" s="372"/>
      <c r="M43" s="398"/>
      <c r="N43" s="372"/>
    </row>
    <row r="44" spans="1:14" s="373" customFormat="1" ht="15.75" hidden="1" outlineLevel="2" x14ac:dyDescent="0.2">
      <c r="A44" s="208" t="s">
        <v>1037</v>
      </c>
      <c r="B44" s="100" t="s">
        <v>426</v>
      </c>
      <c r="C44" s="100" t="s">
        <v>424</v>
      </c>
      <c r="D44" s="157" t="s">
        <v>305</v>
      </c>
      <c r="E44" s="277">
        <v>1</v>
      </c>
      <c r="F44" s="277">
        <f>23115*(1.023*1.005-2.3%*15%)*6.99</f>
        <v>165559</v>
      </c>
      <c r="G44" s="299">
        <f t="shared" si="15"/>
        <v>1.0960000000000001</v>
      </c>
      <c r="H44" s="339">
        <f t="shared" si="16"/>
        <v>181453</v>
      </c>
      <c r="I44" s="299">
        <f>Дефляторы!$D$62</f>
        <v>1.038</v>
      </c>
      <c r="J44" s="339">
        <f t="shared" si="13"/>
        <v>188348</v>
      </c>
      <c r="K44" s="339">
        <f t="shared" si="14"/>
        <v>186280</v>
      </c>
      <c r="L44" s="372" t="s">
        <v>425</v>
      </c>
      <c r="M44" s="372"/>
      <c r="N44" s="372"/>
    </row>
    <row r="45" spans="1:14" s="373" customFormat="1" ht="15.75" hidden="1" outlineLevel="2" x14ac:dyDescent="0.2">
      <c r="A45" s="208" t="s">
        <v>1038</v>
      </c>
      <c r="B45" s="100" t="s">
        <v>428</v>
      </c>
      <c r="C45" s="100" t="s">
        <v>427</v>
      </c>
      <c r="D45" s="157" t="s">
        <v>271</v>
      </c>
      <c r="E45" s="299">
        <f>32.909</f>
        <v>32.908999999999999</v>
      </c>
      <c r="F45" s="277">
        <f>3478*(1.023*1.005-2.3%*15%)*6.99</f>
        <v>24911</v>
      </c>
      <c r="G45" s="299">
        <f t="shared" si="15"/>
        <v>1.0960000000000001</v>
      </c>
      <c r="H45" s="339">
        <f t="shared" si="16"/>
        <v>27302</v>
      </c>
      <c r="I45" s="299">
        <f>Дефляторы!$D$62</f>
        <v>1.038</v>
      </c>
      <c r="J45" s="339">
        <f t="shared" si="13"/>
        <v>28339</v>
      </c>
      <c r="K45" s="339">
        <f t="shared" si="14"/>
        <v>28028</v>
      </c>
      <c r="L45" s="372"/>
      <c r="M45" s="372"/>
      <c r="N45" s="372"/>
    </row>
    <row r="46" spans="1:14" s="373" customFormat="1" ht="15.75" hidden="1" outlineLevel="2" x14ac:dyDescent="0.2">
      <c r="A46" s="208" t="s">
        <v>1334</v>
      </c>
      <c r="B46" s="100" t="s">
        <v>149</v>
      </c>
      <c r="C46" s="100" t="s">
        <v>973</v>
      </c>
      <c r="D46" s="157" t="s">
        <v>305</v>
      </c>
      <c r="E46" s="277">
        <v>1</v>
      </c>
      <c r="F46" s="277">
        <f>133868*(1.023*1.005-2.3%*15%)*6.99+15</f>
        <v>958832</v>
      </c>
      <c r="G46" s="299">
        <f t="shared" si="15"/>
        <v>1.0960000000000001</v>
      </c>
      <c r="H46" s="339">
        <f t="shared" si="16"/>
        <v>1050880</v>
      </c>
      <c r="I46" s="299">
        <f>Дефляторы!$D$62</f>
        <v>1.038</v>
      </c>
      <c r="J46" s="339">
        <f t="shared" si="13"/>
        <v>1090813</v>
      </c>
      <c r="K46" s="339">
        <f t="shared" si="14"/>
        <v>1078833</v>
      </c>
      <c r="L46" s="372"/>
      <c r="M46" s="372"/>
      <c r="N46" s="372"/>
    </row>
    <row r="47" spans="1:14" s="373" customFormat="1" ht="15.75" hidden="1" outlineLevel="2" x14ac:dyDescent="0.2">
      <c r="A47" s="208" t="s">
        <v>1335</v>
      </c>
      <c r="B47" s="100" t="s">
        <v>753</v>
      </c>
      <c r="C47" s="100" t="s">
        <v>969</v>
      </c>
      <c r="D47" s="157" t="s">
        <v>305</v>
      </c>
      <c r="E47" s="277">
        <v>1</v>
      </c>
      <c r="F47" s="277">
        <f>106350*(1.023*1.005-2.3%*15%)*6.99</f>
        <v>761722</v>
      </c>
      <c r="G47" s="299">
        <f t="shared" si="15"/>
        <v>1.0960000000000001</v>
      </c>
      <c r="H47" s="339">
        <f t="shared" si="16"/>
        <v>834847</v>
      </c>
      <c r="I47" s="299">
        <f>Дефляторы!$D$62</f>
        <v>1.038</v>
      </c>
      <c r="J47" s="339">
        <f t="shared" si="13"/>
        <v>866571</v>
      </c>
      <c r="K47" s="339">
        <f t="shared" si="14"/>
        <v>857054</v>
      </c>
      <c r="L47" s="372" t="s">
        <v>351</v>
      </c>
      <c r="M47" s="372"/>
      <c r="N47" s="372"/>
    </row>
    <row r="48" spans="1:14" s="362" customFormat="1" ht="15.75" outlineLevel="1" collapsed="1" x14ac:dyDescent="0.2">
      <c r="A48" s="282" t="s">
        <v>277</v>
      </c>
      <c r="B48" s="283"/>
      <c r="C48" s="283" t="s">
        <v>972</v>
      </c>
      <c r="D48" s="359" t="s">
        <v>250</v>
      </c>
      <c r="E48" s="154">
        <v>1</v>
      </c>
      <c r="F48" s="154">
        <f>SUM(F49:F63)</f>
        <v>4169179</v>
      </c>
      <c r="G48" s="296">
        <f t="shared" si="15"/>
        <v>1.0960000000000001</v>
      </c>
      <c r="H48" s="337">
        <f>SUM(H49:H63)</f>
        <v>4569421</v>
      </c>
      <c r="I48" s="296">
        <f>Дефляторы!$D$71</f>
        <v>1.038</v>
      </c>
      <c r="J48" s="337">
        <f>SUM(J49:J63)</f>
        <v>4743059</v>
      </c>
      <c r="K48" s="337">
        <f>SUM(K49:K63)</f>
        <v>4690968</v>
      </c>
      <c r="L48" s="360"/>
      <c r="M48" s="360"/>
      <c r="N48" s="360"/>
    </row>
    <row r="49" spans="1:14" s="373" customFormat="1" ht="15.75" hidden="1" outlineLevel="2" x14ac:dyDescent="0.2">
      <c r="A49" s="208"/>
      <c r="B49" s="100"/>
      <c r="C49" s="393" t="s">
        <v>279</v>
      </c>
      <c r="D49" s="157"/>
      <c r="E49" s="277"/>
      <c r="F49" s="277"/>
      <c r="G49" s="299"/>
      <c r="H49" s="339"/>
      <c r="I49" s="299">
        <f>Дефляторы!$D$71</f>
        <v>1.038</v>
      </c>
      <c r="J49" s="339"/>
      <c r="K49" s="339"/>
      <c r="L49" s="372"/>
      <c r="M49" s="372"/>
      <c r="N49" s="372"/>
    </row>
    <row r="50" spans="1:14" s="373" customFormat="1" ht="15.75" hidden="1" outlineLevel="2" x14ac:dyDescent="0.2">
      <c r="A50" s="208"/>
      <c r="B50" s="100"/>
      <c r="C50" s="267" t="s">
        <v>976</v>
      </c>
      <c r="D50" s="157"/>
      <c r="E50" s="277"/>
      <c r="F50" s="277"/>
      <c r="G50" s="299"/>
      <c r="H50" s="339"/>
      <c r="I50" s="299">
        <f>Дефляторы!$D$71</f>
        <v>1.038</v>
      </c>
      <c r="J50" s="339"/>
      <c r="K50" s="339"/>
      <c r="L50" s="372"/>
      <c r="M50" s="372"/>
      <c r="N50" s="372"/>
    </row>
    <row r="51" spans="1:14" s="373" customFormat="1" ht="25.5" hidden="1" outlineLevel="2" x14ac:dyDescent="0.2">
      <c r="A51" s="208" t="s">
        <v>278</v>
      </c>
      <c r="B51" s="100" t="s">
        <v>341</v>
      </c>
      <c r="C51" s="100" t="s">
        <v>265</v>
      </c>
      <c r="D51" s="157" t="s">
        <v>262</v>
      </c>
      <c r="E51" s="277">
        <v>831</v>
      </c>
      <c r="F51" s="277">
        <f>831/6243*1244910*(1.023*1.005-2.3%*15%)*6.99</f>
        <v>1186874</v>
      </c>
      <c r="G51" s="299">
        <f>$G$327</f>
        <v>1.0960000000000001</v>
      </c>
      <c r="H51" s="339">
        <f t="shared" si="16"/>
        <v>1300814</v>
      </c>
      <c r="I51" s="299">
        <f>Дефляторы!$D$71</f>
        <v>1.038</v>
      </c>
      <c r="J51" s="339">
        <f>H51*I51</f>
        <v>1350245</v>
      </c>
      <c r="K51" s="339">
        <f t="shared" ref="K51:K63" si="17">H51+(J51-H51)*(1-30/100)</f>
        <v>1335416</v>
      </c>
      <c r="L51" s="372"/>
      <c r="M51" s="372"/>
      <c r="N51" s="372"/>
    </row>
    <row r="52" spans="1:14" s="373" customFormat="1" ht="15.75" hidden="1" outlineLevel="2" x14ac:dyDescent="0.2">
      <c r="A52" s="208" t="s">
        <v>280</v>
      </c>
      <c r="B52" s="100" t="s">
        <v>1229</v>
      </c>
      <c r="C52" s="100" t="s">
        <v>340</v>
      </c>
      <c r="D52" s="157" t="s">
        <v>262</v>
      </c>
      <c r="E52" s="277">
        <v>831</v>
      </c>
      <c r="F52" s="277">
        <f>831/6243*(68858+88564)*(1.023*1.005-2.3%*15%)*6.99</f>
        <v>150083</v>
      </c>
      <c r="G52" s="299">
        <f>$G$327</f>
        <v>1.0960000000000001</v>
      </c>
      <c r="H52" s="339">
        <f t="shared" si="16"/>
        <v>164491</v>
      </c>
      <c r="I52" s="299">
        <f>Дефляторы!$D$71</f>
        <v>1.038</v>
      </c>
      <c r="J52" s="339">
        <f t="shared" ref="J52:J63" si="18">H52*I52</f>
        <v>170742</v>
      </c>
      <c r="K52" s="339">
        <f t="shared" si="17"/>
        <v>168867</v>
      </c>
      <c r="L52" s="372"/>
      <c r="M52" s="372"/>
      <c r="N52" s="372"/>
    </row>
    <row r="53" spans="1:14" s="379" customFormat="1" ht="25.5" hidden="1" outlineLevel="2" x14ac:dyDescent="0.2">
      <c r="A53" s="312" t="s">
        <v>788</v>
      </c>
      <c r="B53" s="171" t="s">
        <v>1230</v>
      </c>
      <c r="C53" s="171" t="s">
        <v>1231</v>
      </c>
      <c r="D53" s="316" t="s">
        <v>262</v>
      </c>
      <c r="E53" s="313">
        <f>312.2*831/6243</f>
        <v>41.6</v>
      </c>
      <c r="F53" s="170">
        <f>831/6243*(20383+3443)*(1.023*1.005-2.3%*15%)*6.99</f>
        <v>22715</v>
      </c>
      <c r="G53" s="376">
        <f>$G$327</f>
        <v>1.0960000000000001</v>
      </c>
      <c r="H53" s="377">
        <f t="shared" si="16"/>
        <v>24896</v>
      </c>
      <c r="I53" s="376">
        <f>Дефляторы!$D$71</f>
        <v>1.038</v>
      </c>
      <c r="J53" s="377">
        <f t="shared" si="18"/>
        <v>25842</v>
      </c>
      <c r="K53" s="377">
        <f t="shared" si="17"/>
        <v>25558</v>
      </c>
      <c r="L53" s="378" t="s">
        <v>1232</v>
      </c>
      <c r="M53" s="378"/>
      <c r="N53" s="378"/>
    </row>
    <row r="54" spans="1:14" s="379" customFormat="1" ht="15.75" hidden="1" outlineLevel="2" x14ac:dyDescent="0.2">
      <c r="A54" s="312" t="s">
        <v>806</v>
      </c>
      <c r="B54" s="171" t="s">
        <v>1222</v>
      </c>
      <c r="C54" s="171" t="s">
        <v>1223</v>
      </c>
      <c r="D54" s="316" t="s">
        <v>262</v>
      </c>
      <c r="E54" s="313">
        <f>312.2*831/6243</f>
        <v>41.6</v>
      </c>
      <c r="F54" s="170">
        <f>831/6243*(9563)*(1.023*1.005-2.3%*15%)*6.99</f>
        <v>9117</v>
      </c>
      <c r="G54" s="376">
        <f>$G$327</f>
        <v>1.0960000000000001</v>
      </c>
      <c r="H54" s="377">
        <f t="shared" si="16"/>
        <v>9992</v>
      </c>
      <c r="I54" s="376">
        <f>Дефляторы!$D$71</f>
        <v>1.038</v>
      </c>
      <c r="J54" s="377">
        <f t="shared" si="18"/>
        <v>10372</v>
      </c>
      <c r="K54" s="377">
        <f t="shared" si="17"/>
        <v>10258</v>
      </c>
      <c r="L54" s="378" t="s">
        <v>1232</v>
      </c>
      <c r="M54" s="378"/>
      <c r="N54" s="378"/>
    </row>
    <row r="55" spans="1:14" s="373" customFormat="1" ht="15.75" hidden="1" outlineLevel="2" x14ac:dyDescent="0.2">
      <c r="A55" s="208" t="s">
        <v>808</v>
      </c>
      <c r="B55" s="100" t="s">
        <v>1221</v>
      </c>
      <c r="C55" s="100" t="s">
        <v>343</v>
      </c>
      <c r="D55" s="157" t="s">
        <v>262</v>
      </c>
      <c r="E55" s="277">
        <v>794</v>
      </c>
      <c r="F55" s="277">
        <f>794/5865*(20459+14414+61608)*(1.023*1.005-2.3%*15%)*6.99</f>
        <v>93552</v>
      </c>
      <c r="G55" s="299">
        <f>$G$327</f>
        <v>1.0960000000000001</v>
      </c>
      <c r="H55" s="339">
        <f t="shared" si="16"/>
        <v>102533</v>
      </c>
      <c r="I55" s="299">
        <f>Дефляторы!$D$71</f>
        <v>1.038</v>
      </c>
      <c r="J55" s="339">
        <f t="shared" si="18"/>
        <v>106429</v>
      </c>
      <c r="K55" s="339">
        <f t="shared" si="17"/>
        <v>105260</v>
      </c>
      <c r="L55" s="372" t="s">
        <v>344</v>
      </c>
      <c r="M55" s="372"/>
      <c r="N55" s="372"/>
    </row>
    <row r="56" spans="1:14" s="373" customFormat="1" ht="15.75" hidden="1" outlineLevel="2" x14ac:dyDescent="0.2">
      <c r="A56" s="208"/>
      <c r="B56" s="100"/>
      <c r="C56" s="267" t="s">
        <v>977</v>
      </c>
      <c r="D56" s="157"/>
      <c r="E56" s="277"/>
      <c r="F56" s="277"/>
      <c r="G56" s="299"/>
      <c r="H56" s="339"/>
      <c r="I56" s="299">
        <f>Дефляторы!$D$71</f>
        <v>1.038</v>
      </c>
      <c r="J56" s="339">
        <f t="shared" si="18"/>
        <v>0</v>
      </c>
      <c r="K56" s="339">
        <f t="shared" si="17"/>
        <v>0</v>
      </c>
      <c r="L56" s="372"/>
      <c r="M56" s="372"/>
      <c r="N56" s="372"/>
    </row>
    <row r="57" spans="1:14" s="373" customFormat="1" ht="25.5" hidden="1" outlineLevel="2" x14ac:dyDescent="0.2">
      <c r="A57" s="208" t="s">
        <v>814</v>
      </c>
      <c r="B57" s="100" t="s">
        <v>341</v>
      </c>
      <c r="C57" s="100" t="s">
        <v>265</v>
      </c>
      <c r="D57" s="157" t="s">
        <v>262</v>
      </c>
      <c r="E57" s="277">
        <v>729</v>
      </c>
      <c r="F57" s="277">
        <f>729/6243*1244910*(1.023*1.005-2.3%*15%)*6.99</f>
        <v>1041193</v>
      </c>
      <c r="G57" s="299">
        <f t="shared" ref="G57:G64" si="19">$G$327</f>
        <v>1.0960000000000001</v>
      </c>
      <c r="H57" s="339">
        <f t="shared" si="16"/>
        <v>1141148</v>
      </c>
      <c r="I57" s="299">
        <f>Дефляторы!$D$71</f>
        <v>1.038</v>
      </c>
      <c r="J57" s="339">
        <f t="shared" si="18"/>
        <v>1184512</v>
      </c>
      <c r="K57" s="339">
        <f t="shared" si="17"/>
        <v>1171503</v>
      </c>
      <c r="L57" s="372"/>
      <c r="M57" s="372"/>
      <c r="N57" s="372"/>
    </row>
    <row r="58" spans="1:14" s="373" customFormat="1" ht="15.75" hidden="1" outlineLevel="2" x14ac:dyDescent="0.2">
      <c r="A58" s="208" t="s">
        <v>818</v>
      </c>
      <c r="B58" s="100" t="s">
        <v>1229</v>
      </c>
      <c r="C58" s="100" t="s">
        <v>340</v>
      </c>
      <c r="D58" s="157" t="s">
        <v>262</v>
      </c>
      <c r="E58" s="277">
        <v>729</v>
      </c>
      <c r="F58" s="277">
        <f>729/6243*(68858+88564)*(1.023*1.005-2.3%*15%)*6.99</f>
        <v>131661</v>
      </c>
      <c r="G58" s="299">
        <f t="shared" si="19"/>
        <v>1.0960000000000001</v>
      </c>
      <c r="H58" s="339">
        <f t="shared" si="16"/>
        <v>144300</v>
      </c>
      <c r="I58" s="299">
        <f>Дефляторы!$D$71</f>
        <v>1.038</v>
      </c>
      <c r="J58" s="339">
        <f t="shared" si="18"/>
        <v>149783</v>
      </c>
      <c r="K58" s="339">
        <f t="shared" si="17"/>
        <v>148138</v>
      </c>
      <c r="L58" s="372"/>
      <c r="M58" s="372"/>
      <c r="N58" s="372"/>
    </row>
    <row r="59" spans="1:14" s="381" customFormat="1" ht="25.5" hidden="1" outlineLevel="2" x14ac:dyDescent="0.2">
      <c r="A59" s="312" t="s">
        <v>822</v>
      </c>
      <c r="B59" s="171" t="s">
        <v>1230</v>
      </c>
      <c r="C59" s="171" t="s">
        <v>1231</v>
      </c>
      <c r="D59" s="316" t="s">
        <v>262</v>
      </c>
      <c r="E59" s="313">
        <f>312.2*729/6243</f>
        <v>36.5</v>
      </c>
      <c r="F59" s="170">
        <f>729/6243*(20383+3443)*(1.023*1.005-2.3%*15%)*6.99</f>
        <v>19927</v>
      </c>
      <c r="G59" s="376">
        <f t="shared" si="19"/>
        <v>1.0960000000000001</v>
      </c>
      <c r="H59" s="377">
        <f t="shared" si="16"/>
        <v>21840</v>
      </c>
      <c r="I59" s="376">
        <f>Дефляторы!$D$71</f>
        <v>1.038</v>
      </c>
      <c r="J59" s="377">
        <f t="shared" si="18"/>
        <v>22670</v>
      </c>
      <c r="K59" s="377">
        <f t="shared" si="17"/>
        <v>22421</v>
      </c>
      <c r="L59" s="380" t="s">
        <v>1232</v>
      </c>
      <c r="M59" s="380"/>
      <c r="N59" s="380"/>
    </row>
    <row r="60" spans="1:14" s="381" customFormat="1" ht="15.75" hidden="1" outlineLevel="2" x14ac:dyDescent="0.2">
      <c r="A60" s="312" t="s">
        <v>826</v>
      </c>
      <c r="B60" s="171" t="s">
        <v>1222</v>
      </c>
      <c r="C60" s="171" t="s">
        <v>1223</v>
      </c>
      <c r="D60" s="316" t="s">
        <v>262</v>
      </c>
      <c r="E60" s="313">
        <f>312.2*729/6243</f>
        <v>36.5</v>
      </c>
      <c r="F60" s="170">
        <f>729/6243*(9563)*(1.023*1.005-2.3%*15%)*6.99</f>
        <v>7998</v>
      </c>
      <c r="G60" s="376">
        <f t="shared" si="19"/>
        <v>1.0960000000000001</v>
      </c>
      <c r="H60" s="377">
        <f t="shared" si="16"/>
        <v>8766</v>
      </c>
      <c r="I60" s="376">
        <f>Дефляторы!$D$71</f>
        <v>1.038</v>
      </c>
      <c r="J60" s="377">
        <f t="shared" si="18"/>
        <v>9099</v>
      </c>
      <c r="K60" s="377">
        <f t="shared" si="17"/>
        <v>8999</v>
      </c>
      <c r="L60" s="380" t="s">
        <v>1232</v>
      </c>
      <c r="M60" s="380"/>
      <c r="N60" s="380"/>
    </row>
    <row r="61" spans="1:14" s="373" customFormat="1" ht="15.75" hidden="1" outlineLevel="2" x14ac:dyDescent="0.2">
      <c r="A61" s="208" t="s">
        <v>1336</v>
      </c>
      <c r="B61" s="100" t="s">
        <v>1221</v>
      </c>
      <c r="C61" s="100" t="s">
        <v>343</v>
      </c>
      <c r="D61" s="157" t="s">
        <v>262</v>
      </c>
      <c r="E61" s="277">
        <v>679</v>
      </c>
      <c r="F61" s="277">
        <f>679/5865*(20459+14414+61608)*(1.023*1.005-2.3%*15%)*6.99</f>
        <v>80002</v>
      </c>
      <c r="G61" s="299">
        <f t="shared" si="19"/>
        <v>1.0960000000000001</v>
      </c>
      <c r="H61" s="339">
        <f t="shared" si="16"/>
        <v>87682</v>
      </c>
      <c r="I61" s="299">
        <f>Дефляторы!$D$71</f>
        <v>1.038</v>
      </c>
      <c r="J61" s="339">
        <f t="shared" si="18"/>
        <v>91014</v>
      </c>
      <c r="K61" s="339">
        <f t="shared" si="17"/>
        <v>90014</v>
      </c>
      <c r="L61" s="372" t="s">
        <v>344</v>
      </c>
      <c r="M61" s="372"/>
      <c r="N61" s="372"/>
    </row>
    <row r="62" spans="1:14" s="373" customFormat="1" ht="15.75" hidden="1" outlineLevel="2" x14ac:dyDescent="0.2">
      <c r="A62" s="208" t="s">
        <v>1337</v>
      </c>
      <c r="B62" s="100" t="s">
        <v>754</v>
      </c>
      <c r="C62" s="100" t="s">
        <v>974</v>
      </c>
      <c r="D62" s="157" t="s">
        <v>305</v>
      </c>
      <c r="E62" s="277">
        <v>1</v>
      </c>
      <c r="F62" s="277">
        <f>88017*(1.023*1.005-2.3%*15%)*6.99</f>
        <v>630414</v>
      </c>
      <c r="G62" s="299">
        <f t="shared" si="19"/>
        <v>1.0960000000000001</v>
      </c>
      <c r="H62" s="339">
        <f t="shared" si="16"/>
        <v>690934</v>
      </c>
      <c r="I62" s="299">
        <f>Дефляторы!$D$71</f>
        <v>1.038</v>
      </c>
      <c r="J62" s="339">
        <f t="shared" si="18"/>
        <v>717189</v>
      </c>
      <c r="K62" s="339">
        <f t="shared" si="17"/>
        <v>709313</v>
      </c>
      <c r="L62" s="372" t="s">
        <v>350</v>
      </c>
      <c r="M62" s="372"/>
      <c r="N62" s="372"/>
    </row>
    <row r="63" spans="1:14" s="373" customFormat="1" ht="15.75" hidden="1" outlineLevel="2" x14ac:dyDescent="0.2">
      <c r="A63" s="208" t="s">
        <v>1338</v>
      </c>
      <c r="B63" s="100" t="s">
        <v>755</v>
      </c>
      <c r="C63" s="100" t="s">
        <v>975</v>
      </c>
      <c r="D63" s="157" t="s">
        <v>305</v>
      </c>
      <c r="E63" s="277">
        <v>1</v>
      </c>
      <c r="F63" s="277">
        <f>111086*(1.023*1.005-2.3%*15%)*6.99</f>
        <v>795643</v>
      </c>
      <c r="G63" s="299">
        <f t="shared" si="19"/>
        <v>1.0960000000000001</v>
      </c>
      <c r="H63" s="339">
        <f t="shared" si="16"/>
        <v>872025</v>
      </c>
      <c r="I63" s="299">
        <f>Дефляторы!$D$71</f>
        <v>1.038</v>
      </c>
      <c r="J63" s="339">
        <f t="shared" si="18"/>
        <v>905162</v>
      </c>
      <c r="K63" s="339">
        <f t="shared" si="17"/>
        <v>895221</v>
      </c>
      <c r="L63" s="372" t="s">
        <v>349</v>
      </c>
      <c r="M63" s="372"/>
      <c r="N63" s="372"/>
    </row>
    <row r="64" spans="1:14" s="362" customFormat="1" ht="25.5" outlineLevel="1" collapsed="1" x14ac:dyDescent="0.2">
      <c r="A64" s="282" t="s">
        <v>281</v>
      </c>
      <c r="B64" s="283"/>
      <c r="C64" s="283" t="s">
        <v>978</v>
      </c>
      <c r="D64" s="359" t="s">
        <v>250</v>
      </c>
      <c r="E64" s="154">
        <v>1</v>
      </c>
      <c r="F64" s="154">
        <f>SUM(F65:F79)</f>
        <v>7205119</v>
      </c>
      <c r="G64" s="296">
        <f t="shared" si="19"/>
        <v>1.0960000000000001</v>
      </c>
      <c r="H64" s="337">
        <f>SUM(H65:H79)</f>
        <v>7896811</v>
      </c>
      <c r="I64" s="296">
        <f>Дефляторы!$D$80</f>
        <v>1.042</v>
      </c>
      <c r="J64" s="337">
        <f>SUM(J65:J79)</f>
        <v>8228476</v>
      </c>
      <c r="K64" s="337">
        <f>SUM(K65:K79)</f>
        <v>8128977</v>
      </c>
      <c r="L64" s="360"/>
      <c r="M64" s="360"/>
      <c r="N64" s="360"/>
    </row>
    <row r="65" spans="1:14" s="373" customFormat="1" ht="15.75" hidden="1" outlineLevel="2" x14ac:dyDescent="0.2">
      <c r="A65" s="208"/>
      <c r="B65" s="100"/>
      <c r="C65" s="267" t="s">
        <v>982</v>
      </c>
      <c r="D65" s="157"/>
      <c r="E65" s="277"/>
      <c r="F65" s="277"/>
      <c r="G65" s="299"/>
      <c r="H65" s="339"/>
      <c r="I65" s="299">
        <f>Дефляторы!$D$80</f>
        <v>1.042</v>
      </c>
      <c r="J65" s="339"/>
      <c r="K65" s="339"/>
      <c r="L65" s="372"/>
      <c r="M65" s="372"/>
      <c r="N65" s="372"/>
    </row>
    <row r="66" spans="1:14" s="373" customFormat="1" ht="25.5" hidden="1" outlineLevel="2" x14ac:dyDescent="0.2">
      <c r="A66" s="208" t="s">
        <v>282</v>
      </c>
      <c r="B66" s="100" t="s">
        <v>341</v>
      </c>
      <c r="C66" s="100" t="s">
        <v>265</v>
      </c>
      <c r="D66" s="157" t="s">
        <v>262</v>
      </c>
      <c r="E66" s="277">
        <v>2432</v>
      </c>
      <c r="F66" s="277">
        <f>2432/6243*1244910*(1.023*1.005-2.3%*15%)*6.99</f>
        <v>3473500</v>
      </c>
      <c r="G66" s="299">
        <f t="shared" ref="G66:G72" si="20">$G$327</f>
        <v>1.0960000000000001</v>
      </c>
      <c r="H66" s="339">
        <f t="shared" si="16"/>
        <v>3806956</v>
      </c>
      <c r="I66" s="299">
        <f>Дефляторы!$D$80</f>
        <v>1.042</v>
      </c>
      <c r="J66" s="339">
        <f>H66*I66</f>
        <v>3966848</v>
      </c>
      <c r="K66" s="339">
        <f t="shared" ref="K66:K79" si="21">H66+(J66-H66)*(1-30/100)</f>
        <v>3918880</v>
      </c>
      <c r="L66" s="372"/>
      <c r="M66" s="372"/>
      <c r="N66" s="372"/>
    </row>
    <row r="67" spans="1:14" s="373" customFormat="1" ht="15.75" hidden="1" outlineLevel="2" x14ac:dyDescent="0.2">
      <c r="A67" s="208" t="s">
        <v>284</v>
      </c>
      <c r="B67" s="100" t="s">
        <v>1229</v>
      </c>
      <c r="C67" s="100" t="s">
        <v>340</v>
      </c>
      <c r="D67" s="157" t="s">
        <v>262</v>
      </c>
      <c r="E67" s="277">
        <v>2432</v>
      </c>
      <c r="F67" s="277">
        <f>2432/6243*(68858+88564)*(1.023*1.005-2.3%*15%)*6.99</f>
        <v>439233</v>
      </c>
      <c r="G67" s="299">
        <f t="shared" si="20"/>
        <v>1.0960000000000001</v>
      </c>
      <c r="H67" s="339">
        <f t="shared" si="16"/>
        <v>481399</v>
      </c>
      <c r="I67" s="299">
        <f>Дефляторы!$D$80</f>
        <v>1.042</v>
      </c>
      <c r="J67" s="339">
        <f t="shared" ref="J67:J79" si="22">H67*I67</f>
        <v>501618</v>
      </c>
      <c r="K67" s="339">
        <f t="shared" si="21"/>
        <v>495552</v>
      </c>
      <c r="L67" s="372"/>
      <c r="M67" s="372"/>
      <c r="N67" s="372"/>
    </row>
    <row r="68" spans="1:14" s="379" customFormat="1" ht="25.5" hidden="1" outlineLevel="2" x14ac:dyDescent="0.2">
      <c r="A68" s="312" t="s">
        <v>285</v>
      </c>
      <c r="B68" s="171" t="s">
        <v>1230</v>
      </c>
      <c r="C68" s="171" t="s">
        <v>1231</v>
      </c>
      <c r="D68" s="316" t="s">
        <v>262</v>
      </c>
      <c r="E68" s="313">
        <f>312.2*2432/6243-0.1</f>
        <v>121.5</v>
      </c>
      <c r="F68" s="170">
        <f>2432/6243*(20383+3443)*(1.023*1.005-2.3%*15%)*6.99+2</f>
        <v>66480</v>
      </c>
      <c r="G68" s="376">
        <f t="shared" si="20"/>
        <v>1.0960000000000001</v>
      </c>
      <c r="H68" s="377">
        <f t="shared" si="16"/>
        <v>72862</v>
      </c>
      <c r="I68" s="376">
        <f>Дефляторы!$D$80</f>
        <v>1.042</v>
      </c>
      <c r="J68" s="377">
        <f t="shared" si="22"/>
        <v>75922</v>
      </c>
      <c r="K68" s="377">
        <f t="shared" si="21"/>
        <v>75004</v>
      </c>
      <c r="L68" s="378" t="s">
        <v>1232</v>
      </c>
      <c r="M68" s="378"/>
      <c r="N68" s="378"/>
    </row>
    <row r="69" spans="1:14" s="379" customFormat="1" ht="15.75" hidden="1" outlineLevel="2" x14ac:dyDescent="0.2">
      <c r="A69" s="312" t="s">
        <v>286</v>
      </c>
      <c r="B69" s="171" t="s">
        <v>1222</v>
      </c>
      <c r="C69" s="171" t="s">
        <v>1223</v>
      </c>
      <c r="D69" s="316" t="s">
        <v>262</v>
      </c>
      <c r="E69" s="313">
        <f>312.2*2432/6243-0.1</f>
        <v>121.5</v>
      </c>
      <c r="F69" s="170">
        <f>2432/6243*(9563)*(1.023*1.005-2.3%*15%)*6.99</f>
        <v>26682</v>
      </c>
      <c r="G69" s="376">
        <f t="shared" si="20"/>
        <v>1.0960000000000001</v>
      </c>
      <c r="H69" s="377">
        <f t="shared" si="16"/>
        <v>29243</v>
      </c>
      <c r="I69" s="376">
        <f>Дефляторы!$D$80</f>
        <v>1.042</v>
      </c>
      <c r="J69" s="377">
        <f t="shared" si="22"/>
        <v>30471</v>
      </c>
      <c r="K69" s="377">
        <f t="shared" si="21"/>
        <v>30103</v>
      </c>
      <c r="L69" s="378" t="s">
        <v>1232</v>
      </c>
      <c r="M69" s="378"/>
      <c r="N69" s="378"/>
    </row>
    <row r="70" spans="1:14" s="373" customFormat="1" ht="15.75" hidden="1" outlineLevel="2" x14ac:dyDescent="0.2">
      <c r="A70" s="208" t="s">
        <v>287</v>
      </c>
      <c r="B70" s="100" t="s">
        <v>1221</v>
      </c>
      <c r="C70" s="100" t="s">
        <v>343</v>
      </c>
      <c r="D70" s="157" t="s">
        <v>262</v>
      </c>
      <c r="E70" s="277">
        <v>2333</v>
      </c>
      <c r="F70" s="277">
        <f>2333/5865*(20459+14414+61608)*(1.023*1.005-2.3%*15%)*6.99</f>
        <v>274883</v>
      </c>
      <c r="G70" s="299">
        <f t="shared" si="20"/>
        <v>1.0960000000000001</v>
      </c>
      <c r="H70" s="339">
        <f t="shared" si="16"/>
        <v>301272</v>
      </c>
      <c r="I70" s="299">
        <f>Дефляторы!$D$80</f>
        <v>1.042</v>
      </c>
      <c r="J70" s="339">
        <f t="shared" si="22"/>
        <v>313925</v>
      </c>
      <c r="K70" s="339">
        <f t="shared" si="21"/>
        <v>310129</v>
      </c>
      <c r="L70" s="372" t="s">
        <v>344</v>
      </c>
      <c r="M70" s="372"/>
      <c r="N70" s="372"/>
    </row>
    <row r="71" spans="1:14" s="373" customFormat="1" ht="15.75" hidden="1" outlineLevel="2" x14ac:dyDescent="0.2">
      <c r="A71" s="208" t="s">
        <v>288</v>
      </c>
      <c r="B71" s="100" t="s">
        <v>756</v>
      </c>
      <c r="C71" s="100" t="s">
        <v>981</v>
      </c>
      <c r="D71" s="157" t="s">
        <v>305</v>
      </c>
      <c r="E71" s="277">
        <v>1</v>
      </c>
      <c r="F71" s="277">
        <f>81286*(1.023*1.005-2.3%*15%)*6.99</f>
        <v>582204</v>
      </c>
      <c r="G71" s="299">
        <f t="shared" si="20"/>
        <v>1.0960000000000001</v>
      </c>
      <c r="H71" s="339">
        <f t="shared" si="16"/>
        <v>638096</v>
      </c>
      <c r="I71" s="299">
        <f>Дефляторы!$D$80</f>
        <v>1.042</v>
      </c>
      <c r="J71" s="339">
        <f t="shared" si="22"/>
        <v>664896</v>
      </c>
      <c r="K71" s="339">
        <f t="shared" si="21"/>
        <v>656856</v>
      </c>
      <c r="L71" s="372"/>
      <c r="M71" s="372"/>
      <c r="N71" s="372"/>
    </row>
    <row r="72" spans="1:14" s="373" customFormat="1" ht="15.75" hidden="1" outlineLevel="2" x14ac:dyDescent="0.2">
      <c r="A72" s="208" t="s">
        <v>289</v>
      </c>
      <c r="B72" s="100" t="s">
        <v>496</v>
      </c>
      <c r="C72" s="100" t="s">
        <v>983</v>
      </c>
      <c r="D72" s="157" t="s">
        <v>283</v>
      </c>
      <c r="E72" s="277">
        <v>1</v>
      </c>
      <c r="F72" s="277">
        <f>209216*(1.023*1.005-2.3%*15%)*6.99+29</f>
        <v>1498519</v>
      </c>
      <c r="G72" s="299">
        <f t="shared" si="20"/>
        <v>1.0960000000000001</v>
      </c>
      <c r="H72" s="339">
        <f t="shared" si="16"/>
        <v>1642377</v>
      </c>
      <c r="I72" s="299">
        <f>Дефляторы!$D$80</f>
        <v>1.042</v>
      </c>
      <c r="J72" s="339">
        <f t="shared" si="22"/>
        <v>1711357</v>
      </c>
      <c r="K72" s="339">
        <f t="shared" si="21"/>
        <v>1690663</v>
      </c>
      <c r="L72" s="372" t="s">
        <v>497</v>
      </c>
      <c r="M72" s="372"/>
      <c r="N72" s="372"/>
    </row>
    <row r="73" spans="1:14" s="373" customFormat="1" ht="15.75" hidden="1" outlineLevel="2" x14ac:dyDescent="0.2">
      <c r="A73" s="208"/>
      <c r="B73" s="100"/>
      <c r="C73" s="267" t="s">
        <v>498</v>
      </c>
      <c r="D73" s="317"/>
      <c r="E73" s="277"/>
      <c r="F73" s="277"/>
      <c r="G73" s="299"/>
      <c r="H73" s="339"/>
      <c r="I73" s="299">
        <f>Дефляторы!$D$80</f>
        <v>1.042</v>
      </c>
      <c r="J73" s="339">
        <f t="shared" si="22"/>
        <v>0</v>
      </c>
      <c r="K73" s="339"/>
      <c r="L73" s="372"/>
      <c r="M73" s="372"/>
      <c r="N73" s="372"/>
    </row>
    <row r="74" spans="1:14" s="373" customFormat="1" ht="25.5" hidden="1" outlineLevel="2" x14ac:dyDescent="0.2">
      <c r="A74" s="208" t="s">
        <v>290</v>
      </c>
      <c r="B74" s="100" t="s">
        <v>499</v>
      </c>
      <c r="C74" s="100" t="s">
        <v>265</v>
      </c>
      <c r="D74" s="317" t="s">
        <v>262</v>
      </c>
      <c r="E74" s="382">
        <f>139.5</f>
        <v>139.5</v>
      </c>
      <c r="F74" s="277">
        <f>27818*(1.023*1.005-2.3%*15%)*6.99+37</f>
        <v>199281</v>
      </c>
      <c r="G74" s="299">
        <f t="shared" ref="G74:G80" si="23">$G$327</f>
        <v>1.0960000000000001</v>
      </c>
      <c r="H74" s="339">
        <f t="shared" si="16"/>
        <v>218412</v>
      </c>
      <c r="I74" s="299">
        <f>Дефляторы!$D$80</f>
        <v>1.042</v>
      </c>
      <c r="J74" s="339">
        <f t="shared" si="22"/>
        <v>227585</v>
      </c>
      <c r="K74" s="339">
        <f t="shared" si="21"/>
        <v>224833</v>
      </c>
      <c r="L74" s="372"/>
      <c r="M74" s="372"/>
      <c r="N74" s="372"/>
    </row>
    <row r="75" spans="1:14" s="373" customFormat="1" ht="15.75" hidden="1" outlineLevel="2" x14ac:dyDescent="0.2">
      <c r="A75" s="208" t="s">
        <v>291</v>
      </c>
      <c r="B75" s="100" t="s">
        <v>502</v>
      </c>
      <c r="C75" s="100" t="s">
        <v>500</v>
      </c>
      <c r="D75" s="317" t="s">
        <v>262</v>
      </c>
      <c r="E75" s="382">
        <f>84.5</f>
        <v>84.5</v>
      </c>
      <c r="F75" s="277">
        <f>1113*(1.023*1.005-2.3%*15%)*6.99</f>
        <v>7972</v>
      </c>
      <c r="G75" s="299">
        <f t="shared" si="23"/>
        <v>1.0960000000000001</v>
      </c>
      <c r="H75" s="339">
        <f t="shared" si="16"/>
        <v>8737</v>
      </c>
      <c r="I75" s="299">
        <f>Дефляторы!$D$80</f>
        <v>1.042</v>
      </c>
      <c r="J75" s="339">
        <f t="shared" si="22"/>
        <v>9104</v>
      </c>
      <c r="K75" s="339">
        <f t="shared" si="21"/>
        <v>8994</v>
      </c>
      <c r="L75" s="372"/>
      <c r="M75" s="372"/>
      <c r="N75" s="372"/>
    </row>
    <row r="76" spans="1:14" s="373" customFormat="1" ht="25.5" hidden="1" outlineLevel="2" x14ac:dyDescent="0.2">
      <c r="A76" s="208" t="s">
        <v>1039</v>
      </c>
      <c r="B76" s="100" t="s">
        <v>503</v>
      </c>
      <c r="C76" s="100" t="s">
        <v>501</v>
      </c>
      <c r="D76" s="317" t="s">
        <v>262</v>
      </c>
      <c r="E76" s="277">
        <v>55</v>
      </c>
      <c r="F76" s="277">
        <f>(902+495+102)*(1.023*1.005-2.3%*15%)*6.99</f>
        <v>10736</v>
      </c>
      <c r="G76" s="299">
        <f t="shared" si="23"/>
        <v>1.0960000000000001</v>
      </c>
      <c r="H76" s="339">
        <f t="shared" si="16"/>
        <v>11767</v>
      </c>
      <c r="I76" s="299">
        <f>Дефляторы!$D$80</f>
        <v>1.042</v>
      </c>
      <c r="J76" s="339">
        <f t="shared" si="22"/>
        <v>12261</v>
      </c>
      <c r="K76" s="339">
        <f t="shared" si="21"/>
        <v>12113</v>
      </c>
      <c r="L76" s="372"/>
      <c r="M76" s="372"/>
      <c r="N76" s="372"/>
    </row>
    <row r="77" spans="1:14" s="373" customFormat="1" ht="15.75" hidden="1" outlineLevel="2" x14ac:dyDescent="0.2">
      <c r="A77" s="208" t="s">
        <v>1040</v>
      </c>
      <c r="B77" s="100" t="s">
        <v>504</v>
      </c>
      <c r="C77" s="100" t="s">
        <v>343</v>
      </c>
      <c r="D77" s="317" t="s">
        <v>262</v>
      </c>
      <c r="E77" s="382">
        <f>84.5</f>
        <v>84.5</v>
      </c>
      <c r="F77" s="277">
        <f>(256+127+888)*(1.023*1.005-2.3%*15%)*6.99</f>
        <v>9103</v>
      </c>
      <c r="G77" s="299">
        <f t="shared" si="23"/>
        <v>1.0960000000000001</v>
      </c>
      <c r="H77" s="339">
        <f t="shared" si="16"/>
        <v>9977</v>
      </c>
      <c r="I77" s="299">
        <f>Дефляторы!$D$80</f>
        <v>1.042</v>
      </c>
      <c r="J77" s="339">
        <f t="shared" si="22"/>
        <v>10396</v>
      </c>
      <c r="K77" s="339">
        <f t="shared" si="21"/>
        <v>10270</v>
      </c>
      <c r="L77" s="372"/>
      <c r="M77" s="372"/>
      <c r="N77" s="372"/>
    </row>
    <row r="78" spans="1:14" s="373" customFormat="1" ht="15.75" hidden="1" outlineLevel="2" x14ac:dyDescent="0.2">
      <c r="A78" s="208" t="s">
        <v>1339</v>
      </c>
      <c r="B78" s="100" t="s">
        <v>507</v>
      </c>
      <c r="C78" s="100" t="s">
        <v>980</v>
      </c>
      <c r="D78" s="317" t="s">
        <v>283</v>
      </c>
      <c r="E78" s="277">
        <v>1</v>
      </c>
      <c r="F78" s="277">
        <f>81939*(1.023*1.005-2.3%*15%)*6.99</f>
        <v>586881</v>
      </c>
      <c r="G78" s="299">
        <f t="shared" si="23"/>
        <v>1.0960000000000001</v>
      </c>
      <c r="H78" s="339">
        <f t="shared" si="16"/>
        <v>643222</v>
      </c>
      <c r="I78" s="299">
        <f>Дефляторы!$D$80</f>
        <v>1.042</v>
      </c>
      <c r="J78" s="339">
        <f t="shared" si="22"/>
        <v>670237</v>
      </c>
      <c r="K78" s="339">
        <f t="shared" si="21"/>
        <v>662133</v>
      </c>
      <c r="L78" s="372" t="s">
        <v>506</v>
      </c>
      <c r="M78" s="372"/>
      <c r="N78" s="372"/>
    </row>
    <row r="79" spans="1:14" s="373" customFormat="1" ht="15.75" hidden="1" outlineLevel="2" x14ac:dyDescent="0.2">
      <c r="A79" s="208" t="s">
        <v>1340</v>
      </c>
      <c r="B79" s="100" t="s">
        <v>509</v>
      </c>
      <c r="C79" s="100" t="s">
        <v>979</v>
      </c>
      <c r="D79" s="317" t="s">
        <v>271</v>
      </c>
      <c r="E79" s="382">
        <f>39.1</f>
        <v>39.1</v>
      </c>
      <c r="F79" s="277">
        <f>4139*(1.023*1.005-2.3%*15%)*6.99</f>
        <v>29645</v>
      </c>
      <c r="G79" s="299">
        <f t="shared" si="23"/>
        <v>1.0960000000000001</v>
      </c>
      <c r="H79" s="339">
        <f t="shared" si="16"/>
        <v>32491</v>
      </c>
      <c r="I79" s="299">
        <f>Дефляторы!$D$80</f>
        <v>1.042</v>
      </c>
      <c r="J79" s="339">
        <f t="shared" si="22"/>
        <v>33856</v>
      </c>
      <c r="K79" s="339">
        <f t="shared" si="21"/>
        <v>33447</v>
      </c>
      <c r="L79" s="372"/>
      <c r="M79" s="372"/>
      <c r="N79" s="372"/>
    </row>
    <row r="80" spans="1:14" s="362" customFormat="1" ht="15.75" outlineLevel="1" collapsed="1" x14ac:dyDescent="0.2">
      <c r="A80" s="282" t="s">
        <v>292</v>
      </c>
      <c r="B80" s="283"/>
      <c r="C80" s="283" t="s">
        <v>1013</v>
      </c>
      <c r="D80" s="359" t="s">
        <v>250</v>
      </c>
      <c r="E80" s="154">
        <v>1</v>
      </c>
      <c r="F80" s="154">
        <f>SUM(F81:F108)</f>
        <v>15802890</v>
      </c>
      <c r="G80" s="296">
        <f t="shared" si="23"/>
        <v>1.0960000000000001</v>
      </c>
      <c r="H80" s="337">
        <f>SUM(H81:H108)</f>
        <v>17319967</v>
      </c>
      <c r="I80" s="296">
        <f>Дефляторы!$D$89</f>
        <v>1.042</v>
      </c>
      <c r="J80" s="337">
        <f>SUM(J81:J108)</f>
        <v>18047408</v>
      </c>
      <c r="K80" s="337">
        <f>SUM(K81:K108)</f>
        <v>17829177</v>
      </c>
      <c r="L80" s="360"/>
      <c r="M80" s="360"/>
      <c r="N80" s="360"/>
    </row>
    <row r="81" spans="1:14" s="373" customFormat="1" ht="15.75" hidden="1" outlineLevel="2" x14ac:dyDescent="0.2">
      <c r="A81" s="208"/>
      <c r="B81" s="100"/>
      <c r="C81" s="267" t="s">
        <v>316</v>
      </c>
      <c r="D81" s="157"/>
      <c r="E81" s="277"/>
      <c r="F81" s="277"/>
      <c r="G81" s="299"/>
      <c r="H81" s="339"/>
      <c r="I81" s="299">
        <f>Дефляторы!$D$89</f>
        <v>1.042</v>
      </c>
      <c r="J81" s="339"/>
      <c r="K81" s="339"/>
      <c r="L81" s="372"/>
      <c r="M81" s="372"/>
      <c r="N81" s="372"/>
    </row>
    <row r="82" spans="1:14" s="373" customFormat="1" ht="15.75" hidden="1" outlineLevel="2" x14ac:dyDescent="0.2">
      <c r="A82" s="208" t="s">
        <v>897</v>
      </c>
      <c r="B82" s="100" t="s">
        <v>318</v>
      </c>
      <c r="C82" s="100" t="s">
        <v>317</v>
      </c>
      <c r="D82" s="157" t="s">
        <v>305</v>
      </c>
      <c r="E82" s="277">
        <v>1</v>
      </c>
      <c r="F82" s="277">
        <f>91786*(1.023*1.005-2.3%*15%)*6.99</f>
        <v>657409</v>
      </c>
      <c r="G82" s="299">
        <f>$G$327</f>
        <v>1.0960000000000001</v>
      </c>
      <c r="H82" s="339">
        <f t="shared" si="16"/>
        <v>720520</v>
      </c>
      <c r="I82" s="299">
        <f>Дефляторы!$D$89</f>
        <v>1.042</v>
      </c>
      <c r="J82" s="339">
        <f t="shared" ref="J82:J141" si="24">H82*I82</f>
        <v>750782</v>
      </c>
      <c r="K82" s="339">
        <f t="shared" ref="K82:K141" si="25">H82+(J82-H82)*(1-30/100)</f>
        <v>741703</v>
      </c>
      <c r="L82" s="372"/>
      <c r="M82" s="277">
        <v>11414</v>
      </c>
      <c r="N82" s="374">
        <f>E82*M82</f>
        <v>11414</v>
      </c>
    </row>
    <row r="83" spans="1:14" s="373" customFormat="1" ht="47.25" hidden="1" customHeight="1" outlineLevel="2" x14ac:dyDescent="0.2">
      <c r="A83" s="208" t="s">
        <v>905</v>
      </c>
      <c r="B83" s="100" t="s">
        <v>321</v>
      </c>
      <c r="C83" s="100" t="s">
        <v>322</v>
      </c>
      <c r="D83" s="157" t="s">
        <v>305</v>
      </c>
      <c r="E83" s="277">
        <v>1</v>
      </c>
      <c r="F83" s="277">
        <f>7340*(1.023*1.005-2.3%*15%)*6.99</f>
        <v>52572</v>
      </c>
      <c r="G83" s="299">
        <f>$G$327</f>
        <v>1.0960000000000001</v>
      </c>
      <c r="H83" s="339">
        <f t="shared" si="16"/>
        <v>57619</v>
      </c>
      <c r="I83" s="299">
        <f>Дефляторы!$D$89</f>
        <v>1.042</v>
      </c>
      <c r="J83" s="339">
        <f t="shared" si="24"/>
        <v>60039</v>
      </c>
      <c r="K83" s="339">
        <f t="shared" si="25"/>
        <v>59313</v>
      </c>
      <c r="L83" s="375" t="s">
        <v>1329</v>
      </c>
      <c r="M83" s="372">
        <v>7845</v>
      </c>
      <c r="N83" s="372">
        <f>E83*M83</f>
        <v>7845</v>
      </c>
    </row>
    <row r="84" spans="1:14" s="373" customFormat="1" ht="15.75" hidden="1" outlineLevel="2" x14ac:dyDescent="0.2">
      <c r="A84" s="208"/>
      <c r="B84" s="100"/>
      <c r="C84" s="267" t="s">
        <v>1007</v>
      </c>
      <c r="D84" s="157"/>
      <c r="E84" s="277"/>
      <c r="F84" s="277"/>
      <c r="G84" s="299"/>
      <c r="H84" s="339"/>
      <c r="I84" s="299">
        <f>Дефляторы!$D$89</f>
        <v>1.042</v>
      </c>
      <c r="J84" s="339">
        <f t="shared" si="24"/>
        <v>0</v>
      </c>
      <c r="K84" s="339">
        <f t="shared" si="25"/>
        <v>0</v>
      </c>
      <c r="L84" s="372"/>
      <c r="M84" s="372"/>
      <c r="N84" s="372"/>
    </row>
    <row r="85" spans="1:14" s="373" customFormat="1" ht="15.75" hidden="1" outlineLevel="2" x14ac:dyDescent="0.2">
      <c r="A85" s="208" t="s">
        <v>1041</v>
      </c>
      <c r="B85" s="100" t="s">
        <v>480</v>
      </c>
      <c r="C85" s="100" t="s">
        <v>1014</v>
      </c>
      <c r="D85" s="157" t="s">
        <v>250</v>
      </c>
      <c r="E85" s="277">
        <v>1</v>
      </c>
      <c r="F85" s="277">
        <f>4996*(1.023*1.005-2.3%*15%)*6.99+5986*4.09</f>
        <v>60266</v>
      </c>
      <c r="G85" s="299">
        <f>$G$327</f>
        <v>1.0960000000000001</v>
      </c>
      <c r="H85" s="339">
        <f t="shared" si="16"/>
        <v>66052</v>
      </c>
      <c r="I85" s="299">
        <f>Дефляторы!$D$89</f>
        <v>1.042</v>
      </c>
      <c r="J85" s="339">
        <f t="shared" si="24"/>
        <v>68826</v>
      </c>
      <c r="K85" s="339">
        <f t="shared" si="25"/>
        <v>67994</v>
      </c>
      <c r="L85" s="372"/>
      <c r="M85" s="372"/>
      <c r="N85" s="372"/>
    </row>
    <row r="86" spans="1:14" s="373" customFormat="1" ht="15.75" hidden="1" outlineLevel="2" x14ac:dyDescent="0.2">
      <c r="A86" s="208" t="s">
        <v>1042</v>
      </c>
      <c r="B86" s="100" t="s">
        <v>482</v>
      </c>
      <c r="C86" s="100" t="s">
        <v>1015</v>
      </c>
      <c r="D86" s="157" t="s">
        <v>250</v>
      </c>
      <c r="E86" s="277">
        <v>1</v>
      </c>
      <c r="F86" s="277">
        <f>1564*(1.023*1.005-2.3%*15%)*6.99+28*4.09</f>
        <v>11317</v>
      </c>
      <c r="G86" s="299">
        <f>$G$327</f>
        <v>1.0960000000000001</v>
      </c>
      <c r="H86" s="339">
        <f t="shared" si="16"/>
        <v>12403</v>
      </c>
      <c r="I86" s="299">
        <f>Дефляторы!$D$89</f>
        <v>1.042</v>
      </c>
      <c r="J86" s="339">
        <f t="shared" si="24"/>
        <v>12924</v>
      </c>
      <c r="K86" s="339">
        <f t="shared" si="25"/>
        <v>12768</v>
      </c>
      <c r="L86" s="372"/>
      <c r="M86" s="372"/>
      <c r="N86" s="372"/>
    </row>
    <row r="87" spans="1:14" s="373" customFormat="1" ht="15.75" hidden="1" outlineLevel="2" x14ac:dyDescent="0.2">
      <c r="A87" s="208" t="s">
        <v>1043</v>
      </c>
      <c r="B87" s="100" t="s">
        <v>484</v>
      </c>
      <c r="C87" s="100" t="s">
        <v>1016</v>
      </c>
      <c r="D87" s="157" t="s">
        <v>250</v>
      </c>
      <c r="E87" s="277">
        <v>1</v>
      </c>
      <c r="F87" s="277">
        <f>6443*(1.023*1.005-2.3%*15%)*6.99+78078*4.09-30</f>
        <v>365456</v>
      </c>
      <c r="G87" s="299">
        <f>$G$327</f>
        <v>1.0960000000000001</v>
      </c>
      <c r="H87" s="339">
        <f t="shared" si="16"/>
        <v>400540</v>
      </c>
      <c r="I87" s="299">
        <f>Дефляторы!$D$89</f>
        <v>1.042</v>
      </c>
      <c r="J87" s="339">
        <f t="shared" si="24"/>
        <v>417363</v>
      </c>
      <c r="K87" s="339">
        <f t="shared" si="25"/>
        <v>412316</v>
      </c>
      <c r="L87" s="372"/>
      <c r="M87" s="372"/>
      <c r="N87" s="372"/>
    </row>
    <row r="88" spans="1:14" s="373" customFormat="1" ht="15.75" hidden="1" outlineLevel="2" x14ac:dyDescent="0.2">
      <c r="A88" s="208"/>
      <c r="B88" s="100"/>
      <c r="C88" s="267" t="s">
        <v>1008</v>
      </c>
      <c r="D88" s="157"/>
      <c r="E88" s="277"/>
      <c r="F88" s="277"/>
      <c r="G88" s="299"/>
      <c r="H88" s="339"/>
      <c r="I88" s="299">
        <f>Дефляторы!$D$89</f>
        <v>1.042</v>
      </c>
      <c r="J88" s="339">
        <f t="shared" si="24"/>
        <v>0</v>
      </c>
      <c r="K88" s="339">
        <f t="shared" si="25"/>
        <v>0</v>
      </c>
      <c r="L88" s="372"/>
      <c r="M88" s="372"/>
      <c r="N88" s="372"/>
    </row>
    <row r="89" spans="1:14" s="373" customFormat="1" ht="25.5" hidden="1" outlineLevel="2" x14ac:dyDescent="0.2">
      <c r="A89" s="208" t="s">
        <v>1044</v>
      </c>
      <c r="B89" s="100" t="s">
        <v>486</v>
      </c>
      <c r="C89" s="100" t="s">
        <v>1017</v>
      </c>
      <c r="D89" s="157" t="s">
        <v>250</v>
      </c>
      <c r="E89" s="277">
        <v>1</v>
      </c>
      <c r="F89" s="277">
        <f>20530*(1.023*1.005-2.3%*15%)*6.99+242680*4.09</f>
        <v>1139605</v>
      </c>
      <c r="G89" s="299">
        <f>$G$327</f>
        <v>1.0960000000000001</v>
      </c>
      <c r="H89" s="339">
        <f t="shared" si="16"/>
        <v>1249007</v>
      </c>
      <c r="I89" s="299">
        <f>Дефляторы!$D$89</f>
        <v>1.042</v>
      </c>
      <c r="J89" s="339">
        <f t="shared" si="24"/>
        <v>1301465</v>
      </c>
      <c r="K89" s="339">
        <f t="shared" si="25"/>
        <v>1285728</v>
      </c>
      <c r="L89" s="372"/>
      <c r="M89" s="372"/>
      <c r="N89" s="372"/>
    </row>
    <row r="90" spans="1:14" s="373" customFormat="1" ht="15.75" hidden="1" outlineLevel="2" x14ac:dyDescent="0.2">
      <c r="A90" s="208" t="s">
        <v>1045</v>
      </c>
      <c r="B90" s="100" t="s">
        <v>488</v>
      </c>
      <c r="C90" s="100" t="s">
        <v>1018</v>
      </c>
      <c r="D90" s="157" t="s">
        <v>250</v>
      </c>
      <c r="E90" s="277">
        <v>1</v>
      </c>
      <c r="F90" s="277">
        <f>2587*(1.023*1.005-2.3%*15%)*6.99+66296*4.09</f>
        <v>289680</v>
      </c>
      <c r="G90" s="299">
        <f>$G$327</f>
        <v>1.0960000000000001</v>
      </c>
      <c r="H90" s="339">
        <f t="shared" si="16"/>
        <v>317489</v>
      </c>
      <c r="I90" s="299">
        <f>Дефляторы!$D$89</f>
        <v>1.042</v>
      </c>
      <c r="J90" s="339">
        <f t="shared" si="24"/>
        <v>330824</v>
      </c>
      <c r="K90" s="339">
        <f t="shared" si="25"/>
        <v>326824</v>
      </c>
      <c r="L90" s="372"/>
      <c r="M90" s="372"/>
      <c r="N90" s="372"/>
    </row>
    <row r="91" spans="1:14" s="373" customFormat="1" ht="15.75" hidden="1" outlineLevel="2" x14ac:dyDescent="0.2">
      <c r="A91" s="208" t="s">
        <v>1046</v>
      </c>
      <c r="B91" s="100" t="s">
        <v>490</v>
      </c>
      <c r="C91" s="100" t="s">
        <v>1019</v>
      </c>
      <c r="D91" s="157" t="s">
        <v>250</v>
      </c>
      <c r="E91" s="277">
        <v>1</v>
      </c>
      <c r="F91" s="277">
        <f>8833*(1.023*1.005-2.3%*15%)*6.99+1413361*4.09-20</f>
        <v>5843892</v>
      </c>
      <c r="G91" s="299">
        <f>$G$327</f>
        <v>1.0960000000000001</v>
      </c>
      <c r="H91" s="339">
        <f t="shared" si="16"/>
        <v>6404906</v>
      </c>
      <c r="I91" s="299">
        <f>Дефляторы!$D$89</f>
        <v>1.042</v>
      </c>
      <c r="J91" s="339">
        <f t="shared" si="24"/>
        <v>6673912</v>
      </c>
      <c r="K91" s="339">
        <f t="shared" si="25"/>
        <v>6593210</v>
      </c>
      <c r="L91" s="372"/>
      <c r="M91" s="372"/>
      <c r="N91" s="372"/>
    </row>
    <row r="92" spans="1:14" s="373" customFormat="1" ht="15.75" hidden="1" outlineLevel="2" x14ac:dyDescent="0.2">
      <c r="A92" s="208"/>
      <c r="B92" s="100"/>
      <c r="C92" s="267" t="s">
        <v>1009</v>
      </c>
      <c r="D92" s="157"/>
      <c r="E92" s="277"/>
      <c r="F92" s="277"/>
      <c r="G92" s="299"/>
      <c r="H92" s="339"/>
      <c r="I92" s="299">
        <f>Дефляторы!$D$89</f>
        <v>1.042</v>
      </c>
      <c r="J92" s="339">
        <f t="shared" si="24"/>
        <v>0</v>
      </c>
      <c r="K92" s="339">
        <f t="shared" si="25"/>
        <v>0</v>
      </c>
      <c r="L92" s="372"/>
      <c r="M92" s="372"/>
      <c r="N92" s="372"/>
    </row>
    <row r="93" spans="1:14" s="373" customFormat="1" ht="15.75" hidden="1" outlineLevel="2" x14ac:dyDescent="0.2">
      <c r="A93" s="208" t="s">
        <v>1047</v>
      </c>
      <c r="B93" s="100" t="s">
        <v>492</v>
      </c>
      <c r="C93" s="100" t="s">
        <v>1010</v>
      </c>
      <c r="D93" s="157" t="s">
        <v>250</v>
      </c>
      <c r="E93" s="277">
        <v>1</v>
      </c>
      <c r="F93" s="277">
        <f>12680*(1.023*1.005-2.3%*15%)*6.99+291851*4.09-14</f>
        <v>1284476</v>
      </c>
      <c r="G93" s="299">
        <f>$G$327</f>
        <v>1.0960000000000001</v>
      </c>
      <c r="H93" s="339">
        <f t="shared" si="16"/>
        <v>1407786</v>
      </c>
      <c r="I93" s="299">
        <f>Дефляторы!$D$89</f>
        <v>1.042</v>
      </c>
      <c r="J93" s="339">
        <f t="shared" si="24"/>
        <v>1466913</v>
      </c>
      <c r="K93" s="339">
        <f t="shared" si="25"/>
        <v>1449175</v>
      </c>
      <c r="L93" s="372"/>
      <c r="M93" s="372"/>
      <c r="N93" s="372"/>
    </row>
    <row r="94" spans="1:14" s="373" customFormat="1" ht="15.75" hidden="1" outlineLevel="2" x14ac:dyDescent="0.2">
      <c r="A94" s="208" t="s">
        <v>1048</v>
      </c>
      <c r="B94" s="100" t="s">
        <v>494</v>
      </c>
      <c r="C94" s="100" t="s">
        <v>1011</v>
      </c>
      <c r="D94" s="157" t="s">
        <v>250</v>
      </c>
      <c r="E94" s="277">
        <v>1</v>
      </c>
      <c r="F94" s="277">
        <f>353*(1.023*1.005-2.3%*15%)*6.99+747*4.09</f>
        <v>5584</v>
      </c>
      <c r="G94" s="299">
        <f>$G$327</f>
        <v>1.0960000000000001</v>
      </c>
      <c r="H94" s="339">
        <f t="shared" si="16"/>
        <v>6120</v>
      </c>
      <c r="I94" s="299">
        <f>Дефляторы!$D$89</f>
        <v>1.042</v>
      </c>
      <c r="J94" s="339">
        <f t="shared" si="24"/>
        <v>6377</v>
      </c>
      <c r="K94" s="339">
        <f t="shared" si="25"/>
        <v>6300</v>
      </c>
      <c r="L94" s="372"/>
      <c r="M94" s="372"/>
      <c r="N94" s="372"/>
    </row>
    <row r="95" spans="1:14" s="373" customFormat="1" ht="25.5" hidden="1" outlineLevel="2" x14ac:dyDescent="0.2">
      <c r="A95" s="208"/>
      <c r="B95" s="100"/>
      <c r="C95" s="267" t="s">
        <v>1021</v>
      </c>
      <c r="D95" s="157"/>
      <c r="E95" s="277"/>
      <c r="F95" s="277"/>
      <c r="G95" s="299"/>
      <c r="H95" s="339"/>
      <c r="I95" s="299">
        <f>Дефляторы!$D$89</f>
        <v>1.042</v>
      </c>
      <c r="J95" s="339">
        <f t="shared" si="24"/>
        <v>0</v>
      </c>
      <c r="K95" s="339">
        <f t="shared" si="25"/>
        <v>0</v>
      </c>
      <c r="L95" s="372"/>
      <c r="M95" s="372"/>
      <c r="N95" s="372"/>
    </row>
    <row r="96" spans="1:14" s="373" customFormat="1" ht="15.75" hidden="1" outlineLevel="2" x14ac:dyDescent="0.2">
      <c r="A96" s="208" t="s">
        <v>1049</v>
      </c>
      <c r="B96" s="100" t="s">
        <v>665</v>
      </c>
      <c r="C96" s="100" t="s">
        <v>664</v>
      </c>
      <c r="D96" s="157" t="s">
        <v>271</v>
      </c>
      <c r="E96" s="277">
        <v>1202</v>
      </c>
      <c r="F96" s="277">
        <f>(3812+421)*(1.023*1.005-2.3%*15%)*6.99</f>
        <v>30318</v>
      </c>
      <c r="G96" s="299">
        <f>$G$327</f>
        <v>1.0960000000000001</v>
      </c>
      <c r="H96" s="339">
        <f t="shared" si="16"/>
        <v>33229</v>
      </c>
      <c r="I96" s="299">
        <f>Дефляторы!$D$89</f>
        <v>1.042</v>
      </c>
      <c r="J96" s="339">
        <f t="shared" si="24"/>
        <v>34625</v>
      </c>
      <c r="K96" s="339">
        <f t="shared" si="25"/>
        <v>34206</v>
      </c>
      <c r="L96" s="372"/>
      <c r="M96" s="372"/>
      <c r="N96" s="372"/>
    </row>
    <row r="97" spans="1:14" s="373" customFormat="1" ht="25.5" hidden="1" outlineLevel="2" x14ac:dyDescent="0.2">
      <c r="A97" s="208" t="s">
        <v>1050</v>
      </c>
      <c r="B97" s="100" t="s">
        <v>662</v>
      </c>
      <c r="C97" s="100" t="s">
        <v>661</v>
      </c>
      <c r="D97" s="157" t="s">
        <v>262</v>
      </c>
      <c r="E97" s="277">
        <f>2473</f>
        <v>2473</v>
      </c>
      <c r="F97" s="277">
        <f>493139*(1.023*1.005-2.3%*15%)*6.99-71</f>
        <v>3531992</v>
      </c>
      <c r="G97" s="299">
        <f>$G$327</f>
        <v>1.0960000000000001</v>
      </c>
      <c r="H97" s="339">
        <f t="shared" si="16"/>
        <v>3871063</v>
      </c>
      <c r="I97" s="299">
        <f>Дефляторы!$D$89</f>
        <v>1.042</v>
      </c>
      <c r="J97" s="339">
        <f t="shared" si="24"/>
        <v>4033648</v>
      </c>
      <c r="K97" s="339">
        <f t="shared" si="25"/>
        <v>3984873</v>
      </c>
      <c r="L97" s="372"/>
      <c r="M97" s="372"/>
      <c r="N97" s="372"/>
    </row>
    <row r="98" spans="1:14" s="373" customFormat="1" ht="51" hidden="1" outlineLevel="2" x14ac:dyDescent="0.2">
      <c r="A98" s="208" t="s">
        <v>1051</v>
      </c>
      <c r="B98" s="100" t="s">
        <v>663</v>
      </c>
      <c r="C98" s="100" t="s">
        <v>666</v>
      </c>
      <c r="D98" s="157" t="s">
        <v>262</v>
      </c>
      <c r="E98" s="277">
        <v>2473</v>
      </c>
      <c r="F98" s="277">
        <f>(40550+22262+4610)*(1.023*1.005-2.3%*15%)*6.99</f>
        <v>482904</v>
      </c>
      <c r="G98" s="299">
        <f>$G$327</f>
        <v>1.0960000000000001</v>
      </c>
      <c r="H98" s="339">
        <f t="shared" si="16"/>
        <v>529263</v>
      </c>
      <c r="I98" s="299">
        <f>Дефляторы!$D$89</f>
        <v>1.042</v>
      </c>
      <c r="J98" s="339">
        <f t="shared" si="24"/>
        <v>551492</v>
      </c>
      <c r="K98" s="339">
        <f t="shared" si="25"/>
        <v>544823</v>
      </c>
      <c r="L98" s="375" t="s">
        <v>1330</v>
      </c>
      <c r="M98" s="372"/>
      <c r="N98" s="372"/>
    </row>
    <row r="99" spans="1:14" s="373" customFormat="1" ht="25.5" hidden="1" outlineLevel="2" x14ac:dyDescent="0.2">
      <c r="A99" s="208" t="s">
        <v>1052</v>
      </c>
      <c r="B99" s="100" t="s">
        <v>667</v>
      </c>
      <c r="C99" s="100" t="s">
        <v>668</v>
      </c>
      <c r="D99" s="157" t="s">
        <v>271</v>
      </c>
      <c r="E99" s="277">
        <v>300</v>
      </c>
      <c r="F99" s="277">
        <f>(98+662+4305+3530-698)*(1.023*1.005-2.3%*15%)*6.99</f>
        <v>56562</v>
      </c>
      <c r="G99" s="299">
        <f>$G$327</f>
        <v>1.0960000000000001</v>
      </c>
      <c r="H99" s="339">
        <f t="shared" si="16"/>
        <v>61992</v>
      </c>
      <c r="I99" s="299">
        <f>Дефляторы!$D$89</f>
        <v>1.042</v>
      </c>
      <c r="J99" s="339">
        <f t="shared" si="24"/>
        <v>64596</v>
      </c>
      <c r="K99" s="339">
        <f t="shared" si="25"/>
        <v>63815</v>
      </c>
      <c r="L99" s="372"/>
      <c r="M99" s="372"/>
      <c r="N99" s="372"/>
    </row>
    <row r="100" spans="1:14" s="373" customFormat="1" ht="15.75" hidden="1" outlineLevel="2" x14ac:dyDescent="0.2">
      <c r="A100" s="208"/>
      <c r="B100" s="100"/>
      <c r="C100" s="267" t="s">
        <v>323</v>
      </c>
      <c r="D100" s="157"/>
      <c r="E100" s="277"/>
      <c r="F100" s="277"/>
      <c r="G100" s="299"/>
      <c r="H100" s="339"/>
      <c r="I100" s="299">
        <f>Дефляторы!$D$89</f>
        <v>1.042</v>
      </c>
      <c r="J100" s="339">
        <f t="shared" si="24"/>
        <v>0</v>
      </c>
      <c r="K100" s="339">
        <f t="shared" si="25"/>
        <v>0</v>
      </c>
      <c r="L100" s="372"/>
      <c r="M100" s="372"/>
      <c r="N100" s="372"/>
    </row>
    <row r="101" spans="1:14" s="373" customFormat="1" ht="15.75" hidden="1" outlineLevel="2" x14ac:dyDescent="0.2">
      <c r="A101" s="208" t="s">
        <v>1053</v>
      </c>
      <c r="B101" s="100" t="s">
        <v>327</v>
      </c>
      <c r="C101" s="100" t="s">
        <v>737</v>
      </c>
      <c r="D101" s="157" t="s">
        <v>305</v>
      </c>
      <c r="E101" s="277">
        <v>1</v>
      </c>
      <c r="F101" s="277">
        <f>1104/8248*36002*(1.023*1.005-2.3%*15%)*6.99</f>
        <v>34515</v>
      </c>
      <c r="G101" s="299">
        <f t="shared" ref="G101:G110" si="26">$G$327</f>
        <v>1.0960000000000001</v>
      </c>
      <c r="H101" s="339">
        <f t="shared" si="16"/>
        <v>37828</v>
      </c>
      <c r="I101" s="299">
        <f>Дефляторы!$D$89</f>
        <v>1.042</v>
      </c>
      <c r="J101" s="339">
        <f t="shared" si="24"/>
        <v>39417</v>
      </c>
      <c r="K101" s="339">
        <f t="shared" si="25"/>
        <v>38940</v>
      </c>
      <c r="L101" s="372"/>
      <c r="M101" s="372">
        <v>1104</v>
      </c>
      <c r="N101" s="372">
        <f t="shared" ref="N101:N108" si="27">E101*M101</f>
        <v>1104</v>
      </c>
    </row>
    <row r="102" spans="1:14" s="373" customFormat="1" ht="15.75" hidden="1" outlineLevel="2" x14ac:dyDescent="0.2">
      <c r="A102" s="208" t="s">
        <v>1054</v>
      </c>
      <c r="B102" s="100" t="s">
        <v>327</v>
      </c>
      <c r="C102" s="100" t="s">
        <v>738</v>
      </c>
      <c r="D102" s="157" t="s">
        <v>305</v>
      </c>
      <c r="E102" s="277">
        <v>1</v>
      </c>
      <c r="F102" s="277">
        <f>1999/8248*36002*(1.023*1.005-2.3%*15%)*6.99</f>
        <v>62496</v>
      </c>
      <c r="G102" s="299">
        <f t="shared" si="26"/>
        <v>1.0960000000000001</v>
      </c>
      <c r="H102" s="339">
        <f t="shared" si="16"/>
        <v>68496</v>
      </c>
      <c r="I102" s="299">
        <f>Дефляторы!$D$89</f>
        <v>1.042</v>
      </c>
      <c r="J102" s="339">
        <f t="shared" si="24"/>
        <v>71373</v>
      </c>
      <c r="K102" s="339">
        <f t="shared" si="25"/>
        <v>70510</v>
      </c>
      <c r="L102" s="372"/>
      <c r="M102" s="372">
        <v>1999</v>
      </c>
      <c r="N102" s="372">
        <f t="shared" si="27"/>
        <v>1999</v>
      </c>
    </row>
    <row r="103" spans="1:14" s="373" customFormat="1" ht="15.75" hidden="1" outlineLevel="2" x14ac:dyDescent="0.2">
      <c r="A103" s="208" t="s">
        <v>1055</v>
      </c>
      <c r="B103" s="100" t="s">
        <v>327</v>
      </c>
      <c r="C103" s="100" t="s">
        <v>739</v>
      </c>
      <c r="D103" s="157" t="s">
        <v>305</v>
      </c>
      <c r="E103" s="277">
        <v>1</v>
      </c>
      <c r="F103" s="277">
        <f>2703/8248*36002*(1.023*1.005-2.3%*15%)*6.99</f>
        <v>84505</v>
      </c>
      <c r="G103" s="299">
        <f t="shared" si="26"/>
        <v>1.0960000000000001</v>
      </c>
      <c r="H103" s="339">
        <f t="shared" si="16"/>
        <v>92617</v>
      </c>
      <c r="I103" s="299">
        <f>Дефляторы!$D$89</f>
        <v>1.042</v>
      </c>
      <c r="J103" s="339">
        <f t="shared" si="24"/>
        <v>96507</v>
      </c>
      <c r="K103" s="339">
        <f t="shared" si="25"/>
        <v>95340</v>
      </c>
      <c r="L103" s="372"/>
      <c r="M103" s="372">
        <v>2703</v>
      </c>
      <c r="N103" s="372">
        <f t="shared" si="27"/>
        <v>2703</v>
      </c>
    </row>
    <row r="104" spans="1:14" s="373" customFormat="1" ht="15.75" hidden="1" outlineLevel="2" x14ac:dyDescent="0.2">
      <c r="A104" s="208" t="s">
        <v>1056</v>
      </c>
      <c r="B104" s="100" t="s">
        <v>327</v>
      </c>
      <c r="C104" s="100" t="s">
        <v>740</v>
      </c>
      <c r="D104" s="157" t="s">
        <v>305</v>
      </c>
      <c r="E104" s="277">
        <v>1</v>
      </c>
      <c r="F104" s="277">
        <f>2442/8248*36002*(1.023*1.005-2.3%*15%)*6.99</f>
        <v>76345</v>
      </c>
      <c r="G104" s="299">
        <f t="shared" si="26"/>
        <v>1.0960000000000001</v>
      </c>
      <c r="H104" s="339">
        <f t="shared" ref="H104:H167" si="28">F104*G104</f>
        <v>83674</v>
      </c>
      <c r="I104" s="299">
        <f>Дефляторы!$D$89</f>
        <v>1.042</v>
      </c>
      <c r="J104" s="339">
        <f t="shared" si="24"/>
        <v>87188</v>
      </c>
      <c r="K104" s="339">
        <f t="shared" si="25"/>
        <v>86134</v>
      </c>
      <c r="L104" s="372"/>
      <c r="M104" s="372">
        <v>2442</v>
      </c>
      <c r="N104" s="372">
        <f t="shared" si="27"/>
        <v>2442</v>
      </c>
    </row>
    <row r="105" spans="1:14" s="373" customFormat="1" ht="25.5" hidden="1" outlineLevel="2" x14ac:dyDescent="0.2">
      <c r="A105" s="208" t="s">
        <v>1057</v>
      </c>
      <c r="B105" s="100" t="s">
        <v>325</v>
      </c>
      <c r="C105" s="100" t="s">
        <v>328</v>
      </c>
      <c r="D105" s="157" t="s">
        <v>305</v>
      </c>
      <c r="E105" s="277">
        <v>8</v>
      </c>
      <c r="F105" s="277">
        <f>8000/48800*241957*(1.023*1.005-2.3%*15%)*6.99</f>
        <v>284098</v>
      </c>
      <c r="G105" s="299">
        <f t="shared" si="26"/>
        <v>1.0960000000000001</v>
      </c>
      <c r="H105" s="339">
        <f t="shared" si="28"/>
        <v>311371</v>
      </c>
      <c r="I105" s="299">
        <f>Дефляторы!$D$89</f>
        <v>1.042</v>
      </c>
      <c r="J105" s="339">
        <f t="shared" si="24"/>
        <v>324449</v>
      </c>
      <c r="K105" s="339">
        <f t="shared" si="25"/>
        <v>320526</v>
      </c>
      <c r="L105" s="375" t="s">
        <v>741</v>
      </c>
      <c r="M105" s="372">
        <v>1000</v>
      </c>
      <c r="N105" s="372">
        <f t="shared" si="27"/>
        <v>8000</v>
      </c>
    </row>
    <row r="106" spans="1:14" s="373" customFormat="1" ht="15.75" hidden="1" outlineLevel="2" x14ac:dyDescent="0.2">
      <c r="A106" s="208" t="s">
        <v>1058</v>
      </c>
      <c r="B106" s="100" t="s">
        <v>325</v>
      </c>
      <c r="C106" s="100" t="s">
        <v>329</v>
      </c>
      <c r="D106" s="157" t="s">
        <v>305</v>
      </c>
      <c r="E106" s="277">
        <v>8</v>
      </c>
      <c r="F106" s="277">
        <f>10400/48800*241957*(1.023*1.005-2.3%*15%)*6.99</f>
        <v>369327</v>
      </c>
      <c r="G106" s="299">
        <f t="shared" si="26"/>
        <v>1.0960000000000001</v>
      </c>
      <c r="H106" s="339">
        <f t="shared" si="28"/>
        <v>404782</v>
      </c>
      <c r="I106" s="299">
        <f>Дефляторы!$D$89</f>
        <v>1.042</v>
      </c>
      <c r="J106" s="339">
        <f t="shared" si="24"/>
        <v>421783</v>
      </c>
      <c r="K106" s="339">
        <f t="shared" si="25"/>
        <v>416683</v>
      </c>
      <c r="L106" s="372"/>
      <c r="M106" s="372">
        <v>1300</v>
      </c>
      <c r="N106" s="372">
        <f t="shared" si="27"/>
        <v>10400</v>
      </c>
    </row>
    <row r="107" spans="1:14" s="373" customFormat="1" ht="15.75" hidden="1" outlineLevel="2" x14ac:dyDescent="0.2">
      <c r="A107" s="208" t="s">
        <v>1059</v>
      </c>
      <c r="B107" s="100" t="s">
        <v>325</v>
      </c>
      <c r="C107" s="100" t="s">
        <v>330</v>
      </c>
      <c r="D107" s="157" t="s">
        <v>305</v>
      </c>
      <c r="E107" s="277">
        <v>4</v>
      </c>
      <c r="F107" s="277">
        <f>20800/48800*241957*(1.023*1.005-2.3%*15%)*6.99</f>
        <v>738654</v>
      </c>
      <c r="G107" s="299">
        <f t="shared" si="26"/>
        <v>1.0960000000000001</v>
      </c>
      <c r="H107" s="339">
        <f t="shared" si="28"/>
        <v>809565</v>
      </c>
      <c r="I107" s="299">
        <f>Дефляторы!$D$89</f>
        <v>1.042</v>
      </c>
      <c r="J107" s="339">
        <f t="shared" si="24"/>
        <v>843567</v>
      </c>
      <c r="K107" s="339">
        <f t="shared" si="25"/>
        <v>833366</v>
      </c>
      <c r="L107" s="372"/>
      <c r="M107" s="372">
        <v>5200</v>
      </c>
      <c r="N107" s="372">
        <f t="shared" si="27"/>
        <v>20800</v>
      </c>
    </row>
    <row r="108" spans="1:14" s="373" customFormat="1" ht="15.75" hidden="1" outlineLevel="2" x14ac:dyDescent="0.2">
      <c r="A108" s="208" t="s">
        <v>1060</v>
      </c>
      <c r="B108" s="100" t="s">
        <v>325</v>
      </c>
      <c r="C108" s="100" t="s">
        <v>331</v>
      </c>
      <c r="D108" s="157" t="s">
        <v>305</v>
      </c>
      <c r="E108" s="277">
        <v>4</v>
      </c>
      <c r="F108" s="277">
        <f>9600/48800*241957*(1.023*1.005-2.3%*15%)*6.99</f>
        <v>340917</v>
      </c>
      <c r="G108" s="299">
        <f t="shared" si="26"/>
        <v>1.0960000000000001</v>
      </c>
      <c r="H108" s="339">
        <f t="shared" si="28"/>
        <v>373645</v>
      </c>
      <c r="I108" s="299">
        <f>Дефляторы!$D$89</f>
        <v>1.042</v>
      </c>
      <c r="J108" s="339">
        <f t="shared" si="24"/>
        <v>389338</v>
      </c>
      <c r="K108" s="339">
        <f t="shared" si="25"/>
        <v>384630</v>
      </c>
      <c r="L108" s="372"/>
      <c r="M108" s="372">
        <v>2400</v>
      </c>
      <c r="N108" s="372">
        <f t="shared" si="27"/>
        <v>9600</v>
      </c>
    </row>
    <row r="109" spans="1:14" s="362" customFormat="1" ht="15.75" outlineLevel="1" collapsed="1" x14ac:dyDescent="0.2">
      <c r="A109" s="282" t="s">
        <v>293</v>
      </c>
      <c r="B109" s="283"/>
      <c r="C109" s="283" t="s">
        <v>1012</v>
      </c>
      <c r="D109" s="359" t="s">
        <v>250</v>
      </c>
      <c r="E109" s="154">
        <v>1</v>
      </c>
      <c r="F109" s="154">
        <f>SUM(F110:F140)</f>
        <v>3285357</v>
      </c>
      <c r="G109" s="296">
        <f t="shared" si="26"/>
        <v>1.0960000000000001</v>
      </c>
      <c r="H109" s="337">
        <f>SUM(H110:H140)</f>
        <v>3600754</v>
      </c>
      <c r="I109" s="296">
        <f>Дефляторы!$D$98</f>
        <v>1.0429999999999999</v>
      </c>
      <c r="J109" s="337">
        <f>SUM(J110:J140)</f>
        <v>3755584</v>
      </c>
      <c r="K109" s="337">
        <f>SUM(K110:K140)</f>
        <v>3709137</v>
      </c>
      <c r="L109" s="360"/>
      <c r="M109" s="360"/>
      <c r="N109" s="360"/>
    </row>
    <row r="110" spans="1:14" s="373" customFormat="1" ht="15.75" hidden="1" outlineLevel="2" x14ac:dyDescent="0.2">
      <c r="A110" s="208" t="s">
        <v>908</v>
      </c>
      <c r="B110" s="100" t="s">
        <v>310</v>
      </c>
      <c r="C110" s="100" t="s">
        <v>309</v>
      </c>
      <c r="D110" s="157" t="s">
        <v>305</v>
      </c>
      <c r="E110" s="277">
        <v>1</v>
      </c>
      <c r="F110" s="277">
        <f>120665*(1.023*1.005-2.3%*15%)*6.99+35</f>
        <v>864287</v>
      </c>
      <c r="G110" s="299">
        <f t="shared" si="26"/>
        <v>1.0960000000000001</v>
      </c>
      <c r="H110" s="339">
        <f t="shared" si="28"/>
        <v>947259</v>
      </c>
      <c r="I110" s="299">
        <f>Дефляторы!$D$98</f>
        <v>1.0429999999999999</v>
      </c>
      <c r="J110" s="339">
        <f t="shared" si="24"/>
        <v>987991</v>
      </c>
      <c r="K110" s="339">
        <f t="shared" si="25"/>
        <v>975771</v>
      </c>
      <c r="L110" s="372"/>
      <c r="M110" s="277">
        <f>15000</f>
        <v>15000</v>
      </c>
      <c r="N110" s="372">
        <f>E110*M110</f>
        <v>15000</v>
      </c>
    </row>
    <row r="111" spans="1:14" s="373" customFormat="1" ht="51" hidden="1" outlineLevel="2" x14ac:dyDescent="0.2">
      <c r="A111" s="208"/>
      <c r="B111" s="100"/>
      <c r="C111" s="100" t="s">
        <v>720</v>
      </c>
      <c r="D111" s="157"/>
      <c r="E111" s="277"/>
      <c r="F111" s="277"/>
      <c r="G111" s="299"/>
      <c r="H111" s="339"/>
      <c r="I111" s="299">
        <f>Дефляторы!$D$98</f>
        <v>1.0429999999999999</v>
      </c>
      <c r="J111" s="339">
        <f t="shared" si="24"/>
        <v>0</v>
      </c>
      <c r="K111" s="339">
        <f t="shared" si="25"/>
        <v>0</v>
      </c>
      <c r="L111" s="375" t="s">
        <v>721</v>
      </c>
      <c r="M111" s="277">
        <f>9671</f>
        <v>9671</v>
      </c>
      <c r="N111" s="372"/>
    </row>
    <row r="112" spans="1:14" s="373" customFormat="1" ht="25.5" hidden="1" customHeight="1" outlineLevel="2" x14ac:dyDescent="0.2">
      <c r="A112" s="208" t="s">
        <v>909</v>
      </c>
      <c r="B112" s="100" t="s">
        <v>311</v>
      </c>
      <c r="C112" s="100" t="s">
        <v>716</v>
      </c>
      <c r="D112" s="157" t="s">
        <v>305</v>
      </c>
      <c r="E112" s="277">
        <v>1</v>
      </c>
      <c r="F112" s="277">
        <f>550/9671*49497*(1.023*1.005-2.3%*15%)*6.99</f>
        <v>20162</v>
      </c>
      <c r="G112" s="299">
        <f>$G$327</f>
        <v>1.0960000000000001</v>
      </c>
      <c r="H112" s="339">
        <f t="shared" si="28"/>
        <v>22098</v>
      </c>
      <c r="I112" s="299">
        <f>Дефляторы!$D$98</f>
        <v>1.0429999999999999</v>
      </c>
      <c r="J112" s="339">
        <f t="shared" si="24"/>
        <v>23048</v>
      </c>
      <c r="K112" s="339">
        <f t="shared" si="25"/>
        <v>22763</v>
      </c>
      <c r="L112" s="624" t="s">
        <v>1326</v>
      </c>
      <c r="M112" s="277">
        <f>550</f>
        <v>550</v>
      </c>
      <c r="N112" s="372">
        <f>E112*M112</f>
        <v>550</v>
      </c>
    </row>
    <row r="113" spans="1:14" s="373" customFormat="1" ht="24" hidden="1" customHeight="1" outlineLevel="2" x14ac:dyDescent="0.2">
      <c r="A113" s="208" t="s">
        <v>910</v>
      </c>
      <c r="B113" s="100" t="s">
        <v>311</v>
      </c>
      <c r="C113" s="100" t="s">
        <v>717</v>
      </c>
      <c r="D113" s="157" t="s">
        <v>305</v>
      </c>
      <c r="E113" s="277">
        <v>1</v>
      </c>
      <c r="F113" s="277">
        <f>566/9671*49497*(1.023*1.005-2.3%*15%)*6.99</f>
        <v>20748</v>
      </c>
      <c r="G113" s="299">
        <f>$G$327</f>
        <v>1.0960000000000001</v>
      </c>
      <c r="H113" s="339">
        <f t="shared" si="28"/>
        <v>22740</v>
      </c>
      <c r="I113" s="299">
        <f>Дефляторы!$D$98</f>
        <v>1.0429999999999999</v>
      </c>
      <c r="J113" s="339">
        <f t="shared" si="24"/>
        <v>23718</v>
      </c>
      <c r="K113" s="339">
        <f t="shared" si="25"/>
        <v>23425</v>
      </c>
      <c r="L113" s="625"/>
      <c r="M113" s="277">
        <f>566</f>
        <v>566</v>
      </c>
      <c r="N113" s="372">
        <f>E113*M113</f>
        <v>566</v>
      </c>
    </row>
    <row r="114" spans="1:14" s="373" customFormat="1" ht="63.75" hidden="1" outlineLevel="2" x14ac:dyDescent="0.2">
      <c r="A114" s="208" t="s">
        <v>911</v>
      </c>
      <c r="B114" s="100" t="s">
        <v>311</v>
      </c>
      <c r="C114" s="100" t="s">
        <v>719</v>
      </c>
      <c r="D114" s="157" t="s">
        <v>305</v>
      </c>
      <c r="E114" s="277">
        <v>1</v>
      </c>
      <c r="F114" s="277">
        <f>7845/9671*49497*(1.023*1.005-2.3%*15%)*6.99</f>
        <v>287581</v>
      </c>
      <c r="G114" s="299">
        <f>$G$327</f>
        <v>1.0960000000000001</v>
      </c>
      <c r="H114" s="339">
        <f t="shared" si="28"/>
        <v>315189</v>
      </c>
      <c r="I114" s="299">
        <f>Дефляторы!$D$98</f>
        <v>1.0429999999999999</v>
      </c>
      <c r="J114" s="339">
        <f t="shared" si="24"/>
        <v>328742</v>
      </c>
      <c r="K114" s="339">
        <f t="shared" si="25"/>
        <v>324676</v>
      </c>
      <c r="L114" s="375" t="s">
        <v>1327</v>
      </c>
      <c r="M114" s="277">
        <f>7845</f>
        <v>7845</v>
      </c>
      <c r="N114" s="372">
        <f>E114*M114</f>
        <v>7845</v>
      </c>
    </row>
    <row r="115" spans="1:14" s="373" customFormat="1" ht="63.75" hidden="1" outlineLevel="2" x14ac:dyDescent="0.2">
      <c r="A115" s="208" t="s">
        <v>912</v>
      </c>
      <c r="B115" s="100" t="s">
        <v>311</v>
      </c>
      <c r="C115" s="100" t="s">
        <v>718</v>
      </c>
      <c r="D115" s="157" t="s">
        <v>305</v>
      </c>
      <c r="E115" s="277">
        <v>1</v>
      </c>
      <c r="F115" s="277">
        <f>710/9671*49497*(1.023*1.005-2.3%*15%)*6.99</f>
        <v>26027</v>
      </c>
      <c r="G115" s="299">
        <f>$G$327</f>
        <v>1.0960000000000001</v>
      </c>
      <c r="H115" s="339">
        <f t="shared" si="28"/>
        <v>28526</v>
      </c>
      <c r="I115" s="299">
        <f>Дефляторы!$D$98</f>
        <v>1.0429999999999999</v>
      </c>
      <c r="J115" s="339">
        <f t="shared" si="24"/>
        <v>29753</v>
      </c>
      <c r="K115" s="339">
        <f t="shared" si="25"/>
        <v>29385</v>
      </c>
      <c r="L115" s="375" t="s">
        <v>1328</v>
      </c>
      <c r="M115" s="277">
        <f>710</f>
        <v>710</v>
      </c>
      <c r="N115" s="372">
        <f>E115*M115</f>
        <v>710</v>
      </c>
    </row>
    <row r="116" spans="1:14" s="373" customFormat="1" ht="15.75" hidden="1" outlineLevel="2" x14ac:dyDescent="0.2">
      <c r="A116" s="208"/>
      <c r="B116" s="100"/>
      <c r="C116" s="100" t="s">
        <v>731</v>
      </c>
      <c r="D116" s="157"/>
      <c r="E116" s="277"/>
      <c r="F116" s="277"/>
      <c r="G116" s="299"/>
      <c r="H116" s="339"/>
      <c r="I116" s="299">
        <f>Дефляторы!$D$98</f>
        <v>1.0429999999999999</v>
      </c>
      <c r="J116" s="339">
        <f t="shared" si="24"/>
        <v>0</v>
      </c>
      <c r="K116" s="339">
        <f t="shared" si="25"/>
        <v>0</v>
      </c>
      <c r="L116" s="372"/>
      <c r="M116" s="277">
        <f>3732</f>
        <v>3732</v>
      </c>
      <c r="N116" s="372"/>
    </row>
    <row r="117" spans="1:14" s="373" customFormat="1" ht="15.75" hidden="1" outlineLevel="2" x14ac:dyDescent="0.2">
      <c r="A117" s="208" t="s">
        <v>1061</v>
      </c>
      <c r="B117" s="100" t="s">
        <v>264</v>
      </c>
      <c r="C117" s="100" t="s">
        <v>725</v>
      </c>
      <c r="D117" s="157" t="s">
        <v>305</v>
      </c>
      <c r="E117" s="277">
        <v>2</v>
      </c>
      <c r="F117" s="277">
        <f>1110/3732*6419*(1.023*1.005-2.3%*15%)*6.99</f>
        <v>13674</v>
      </c>
      <c r="G117" s="299">
        <f>$G$327</f>
        <v>1.0960000000000001</v>
      </c>
      <c r="H117" s="339">
        <f t="shared" si="28"/>
        <v>14987</v>
      </c>
      <c r="I117" s="299">
        <f>Дефляторы!$D$98</f>
        <v>1.0429999999999999</v>
      </c>
      <c r="J117" s="339">
        <f t="shared" si="24"/>
        <v>15631</v>
      </c>
      <c r="K117" s="339">
        <f t="shared" si="25"/>
        <v>15438</v>
      </c>
      <c r="L117" s="372"/>
      <c r="M117" s="277">
        <f>555</f>
        <v>555</v>
      </c>
      <c r="N117" s="372">
        <f>E117*M117</f>
        <v>1110</v>
      </c>
    </row>
    <row r="118" spans="1:14" s="373" customFormat="1" ht="15.75" hidden="1" outlineLevel="2" x14ac:dyDescent="0.2">
      <c r="A118" s="208" t="s">
        <v>1062</v>
      </c>
      <c r="B118" s="100" t="s">
        <v>264</v>
      </c>
      <c r="C118" s="100" t="s">
        <v>729</v>
      </c>
      <c r="D118" s="157" t="s">
        <v>305</v>
      </c>
      <c r="E118" s="277">
        <v>1</v>
      </c>
      <c r="F118" s="277">
        <f>600/3732*6419*(1.023*1.005-2.3%*15%)*6.99</f>
        <v>7392</v>
      </c>
      <c r="G118" s="299">
        <f>$G$327</f>
        <v>1.0960000000000001</v>
      </c>
      <c r="H118" s="339">
        <f t="shared" si="28"/>
        <v>8102</v>
      </c>
      <c r="I118" s="299">
        <f>Дефляторы!$D$98</f>
        <v>1.0429999999999999</v>
      </c>
      <c r="J118" s="339">
        <f t="shared" si="24"/>
        <v>8450</v>
      </c>
      <c r="K118" s="339">
        <f t="shared" si="25"/>
        <v>8346</v>
      </c>
      <c r="L118" s="372"/>
      <c r="M118" s="372">
        <v>600</v>
      </c>
      <c r="N118" s="374">
        <f>E118*M118</f>
        <v>600</v>
      </c>
    </row>
    <row r="119" spans="1:14" s="373" customFormat="1" ht="15.75" hidden="1" outlineLevel="2" x14ac:dyDescent="0.2">
      <c r="A119" s="208" t="s">
        <v>1063</v>
      </c>
      <c r="B119" s="100" t="s">
        <v>264</v>
      </c>
      <c r="C119" s="100" t="s">
        <v>730</v>
      </c>
      <c r="D119" s="157" t="s">
        <v>305</v>
      </c>
      <c r="E119" s="277">
        <v>1</v>
      </c>
      <c r="F119" s="277">
        <f>2022/3732*6419*(1.023*1.005-2.3%*15%)*6.99</f>
        <v>24910</v>
      </c>
      <c r="G119" s="299">
        <f>$G$327</f>
        <v>1.0960000000000001</v>
      </c>
      <c r="H119" s="339">
        <f t="shared" si="28"/>
        <v>27301</v>
      </c>
      <c r="I119" s="299">
        <f>Дефляторы!$D$98</f>
        <v>1.0429999999999999</v>
      </c>
      <c r="J119" s="339">
        <f t="shared" si="24"/>
        <v>28475</v>
      </c>
      <c r="K119" s="339">
        <f t="shared" si="25"/>
        <v>28123</v>
      </c>
      <c r="L119" s="372"/>
      <c r="M119" s="372">
        <v>2022</v>
      </c>
      <c r="N119" s="374">
        <f>E119*M119</f>
        <v>2022</v>
      </c>
    </row>
    <row r="120" spans="1:14" s="373" customFormat="1" ht="15.75" hidden="1" outlineLevel="2" x14ac:dyDescent="0.2">
      <c r="A120" s="208"/>
      <c r="B120" s="100"/>
      <c r="C120" s="267" t="s">
        <v>1007</v>
      </c>
      <c r="D120" s="317"/>
      <c r="E120" s="277"/>
      <c r="F120" s="277"/>
      <c r="G120" s="299"/>
      <c r="H120" s="339"/>
      <c r="I120" s="299">
        <f>Дефляторы!$D$98</f>
        <v>1.0429999999999999</v>
      </c>
      <c r="J120" s="339">
        <f t="shared" si="24"/>
        <v>0</v>
      </c>
      <c r="K120" s="339">
        <f t="shared" si="25"/>
        <v>0</v>
      </c>
      <c r="L120" s="375"/>
      <c r="M120" s="372"/>
      <c r="N120" s="372"/>
    </row>
    <row r="121" spans="1:14" s="373" customFormat="1" ht="15.75" hidden="1" outlineLevel="2" x14ac:dyDescent="0.2">
      <c r="A121" s="208" t="s">
        <v>1064</v>
      </c>
      <c r="B121" s="100" t="s">
        <v>604</v>
      </c>
      <c r="C121" s="100" t="s">
        <v>602</v>
      </c>
      <c r="D121" s="157" t="s">
        <v>250</v>
      </c>
      <c r="E121" s="277">
        <v>1</v>
      </c>
      <c r="F121" s="277">
        <f>6999*(1.023*1.005-2.3%*15%)*6.99+6733*4.09-35</f>
        <v>77633</v>
      </c>
      <c r="G121" s="299">
        <f>$G$327</f>
        <v>1.0960000000000001</v>
      </c>
      <c r="H121" s="339">
        <f t="shared" si="28"/>
        <v>85086</v>
      </c>
      <c r="I121" s="299">
        <f>Дефляторы!$D$98</f>
        <v>1.0429999999999999</v>
      </c>
      <c r="J121" s="339">
        <f t="shared" si="24"/>
        <v>88745</v>
      </c>
      <c r="K121" s="339">
        <f t="shared" si="25"/>
        <v>87647</v>
      </c>
      <c r="L121" s="372"/>
      <c r="M121" s="372"/>
      <c r="N121" s="372"/>
    </row>
    <row r="122" spans="1:14" s="373" customFormat="1" ht="15.75" hidden="1" outlineLevel="2" x14ac:dyDescent="0.2">
      <c r="A122" s="208" t="s">
        <v>1065</v>
      </c>
      <c r="B122" s="100" t="s">
        <v>605</v>
      </c>
      <c r="C122" s="100" t="s">
        <v>603</v>
      </c>
      <c r="D122" s="157" t="s">
        <v>250</v>
      </c>
      <c r="E122" s="277">
        <v>1</v>
      </c>
      <c r="F122" s="277">
        <f>3856*(1.023*1.005-2.3%*15%)*6.99+140*4.09</f>
        <v>28191</v>
      </c>
      <c r="G122" s="299">
        <f>$G$327</f>
        <v>1.0960000000000001</v>
      </c>
      <c r="H122" s="339">
        <f t="shared" si="28"/>
        <v>30897</v>
      </c>
      <c r="I122" s="299">
        <f>Дефляторы!$D$98</f>
        <v>1.0429999999999999</v>
      </c>
      <c r="J122" s="339">
        <f t="shared" si="24"/>
        <v>32226</v>
      </c>
      <c r="K122" s="339">
        <f t="shared" si="25"/>
        <v>31827</v>
      </c>
      <c r="L122" s="372"/>
      <c r="M122" s="372"/>
      <c r="N122" s="372"/>
    </row>
    <row r="123" spans="1:14" s="373" customFormat="1" ht="25.5" hidden="1" outlineLevel="2" x14ac:dyDescent="0.2">
      <c r="A123" s="208" t="s">
        <v>1066</v>
      </c>
      <c r="B123" s="100" t="s">
        <v>607</v>
      </c>
      <c r="C123" s="100" t="s">
        <v>606</v>
      </c>
      <c r="D123" s="317" t="s">
        <v>250</v>
      </c>
      <c r="E123" s="277">
        <v>1</v>
      </c>
      <c r="F123" s="277">
        <f>5432*(1.023*1.005-2.3%*15%)*6.99+3636*4.09</f>
        <v>53777</v>
      </c>
      <c r="G123" s="299">
        <f>$G$327</f>
        <v>1.0960000000000001</v>
      </c>
      <c r="H123" s="339">
        <f t="shared" si="28"/>
        <v>58940</v>
      </c>
      <c r="I123" s="299">
        <f>Дефляторы!$D$98</f>
        <v>1.0429999999999999</v>
      </c>
      <c r="J123" s="339">
        <f t="shared" si="24"/>
        <v>61474</v>
      </c>
      <c r="K123" s="339">
        <f t="shared" si="25"/>
        <v>60714</v>
      </c>
      <c r="L123" s="372"/>
      <c r="M123" s="372"/>
      <c r="N123" s="372"/>
    </row>
    <row r="124" spans="1:14" s="373" customFormat="1" ht="15.75" hidden="1" outlineLevel="2" x14ac:dyDescent="0.2">
      <c r="A124" s="208"/>
      <c r="B124" s="100"/>
      <c r="C124" s="267" t="s">
        <v>609</v>
      </c>
      <c r="D124" s="317"/>
      <c r="E124" s="277"/>
      <c r="F124" s="277"/>
      <c r="G124" s="299"/>
      <c r="H124" s="339"/>
      <c r="I124" s="299">
        <f>Дефляторы!$D$98</f>
        <v>1.0429999999999999</v>
      </c>
      <c r="J124" s="339">
        <f t="shared" si="24"/>
        <v>0</v>
      </c>
      <c r="K124" s="339">
        <f t="shared" si="25"/>
        <v>0</v>
      </c>
      <c r="L124" s="372"/>
      <c r="M124" s="372"/>
      <c r="N124" s="372"/>
    </row>
    <row r="125" spans="1:14" s="373" customFormat="1" ht="15.75" hidden="1" outlineLevel="2" x14ac:dyDescent="0.2">
      <c r="A125" s="208" t="s">
        <v>1067</v>
      </c>
      <c r="B125" s="100" t="s">
        <v>614</v>
      </c>
      <c r="C125" s="100" t="s">
        <v>610</v>
      </c>
      <c r="D125" s="317" t="s">
        <v>283</v>
      </c>
      <c r="E125" s="277">
        <v>2</v>
      </c>
      <c r="F125" s="277">
        <f>0*(1.023*1.005-2.3%*15%)*6.99+1621*4.09</f>
        <v>6630</v>
      </c>
      <c r="G125" s="299">
        <f>$G$327</f>
        <v>1.0960000000000001</v>
      </c>
      <c r="H125" s="339">
        <f t="shared" si="28"/>
        <v>7266</v>
      </c>
      <c r="I125" s="299">
        <f>Дефляторы!$D$98</f>
        <v>1.0429999999999999</v>
      </c>
      <c r="J125" s="339">
        <f t="shared" si="24"/>
        <v>7578</v>
      </c>
      <c r="K125" s="339">
        <f t="shared" si="25"/>
        <v>7484</v>
      </c>
      <c r="L125" s="372"/>
      <c r="M125" s="372"/>
      <c r="N125" s="372"/>
    </row>
    <row r="126" spans="1:14" s="373" customFormat="1" ht="15.75" hidden="1" outlineLevel="2" x14ac:dyDescent="0.2">
      <c r="A126" s="208" t="s">
        <v>1068</v>
      </c>
      <c r="B126" s="100" t="s">
        <v>615</v>
      </c>
      <c r="C126" s="100" t="s">
        <v>611</v>
      </c>
      <c r="D126" s="317" t="s">
        <v>283</v>
      </c>
      <c r="E126" s="277">
        <v>3</v>
      </c>
      <c r="F126" s="277">
        <f>0*(1.023*1.005-2.3%*15%)*6.99+298*4.09</f>
        <v>1219</v>
      </c>
      <c r="G126" s="299">
        <f>$G$327</f>
        <v>1.0960000000000001</v>
      </c>
      <c r="H126" s="339">
        <f t="shared" si="28"/>
        <v>1336</v>
      </c>
      <c r="I126" s="299">
        <f>Дефляторы!$D$98</f>
        <v>1.0429999999999999</v>
      </c>
      <c r="J126" s="339">
        <f t="shared" si="24"/>
        <v>1393</v>
      </c>
      <c r="K126" s="339">
        <f t="shared" si="25"/>
        <v>1376</v>
      </c>
      <c r="L126" s="372"/>
      <c r="M126" s="372"/>
      <c r="N126" s="372"/>
    </row>
    <row r="127" spans="1:14" s="373" customFormat="1" ht="38.25" hidden="1" outlineLevel="2" x14ac:dyDescent="0.2">
      <c r="A127" s="208" t="s">
        <v>1069</v>
      </c>
      <c r="B127" s="100" t="s">
        <v>616</v>
      </c>
      <c r="C127" s="100" t="s">
        <v>612</v>
      </c>
      <c r="D127" s="317" t="s">
        <v>283</v>
      </c>
      <c r="E127" s="277">
        <v>2</v>
      </c>
      <c r="F127" s="277">
        <f>199*(1.023*1.005-2.3%*15%)*6.99+0*4.09</f>
        <v>1425</v>
      </c>
      <c r="G127" s="299">
        <f>$G$327</f>
        <v>1.0960000000000001</v>
      </c>
      <c r="H127" s="339">
        <f t="shared" si="28"/>
        <v>1562</v>
      </c>
      <c r="I127" s="299">
        <f>Дефляторы!$D$98</f>
        <v>1.0429999999999999</v>
      </c>
      <c r="J127" s="339">
        <f t="shared" si="24"/>
        <v>1629</v>
      </c>
      <c r="K127" s="339">
        <f t="shared" si="25"/>
        <v>1609</v>
      </c>
      <c r="L127" s="375" t="s">
        <v>613</v>
      </c>
      <c r="M127" s="372"/>
      <c r="N127" s="372"/>
    </row>
    <row r="128" spans="1:14" s="373" customFormat="1" ht="15.75" hidden="1" outlineLevel="2" x14ac:dyDescent="0.2">
      <c r="A128" s="208"/>
      <c r="B128" s="100"/>
      <c r="C128" s="267" t="s">
        <v>1008</v>
      </c>
      <c r="D128" s="157"/>
      <c r="E128" s="277"/>
      <c r="F128" s="277"/>
      <c r="G128" s="299"/>
      <c r="H128" s="339"/>
      <c r="I128" s="299">
        <f>Дефляторы!$D$98</f>
        <v>1.0429999999999999</v>
      </c>
      <c r="J128" s="339">
        <f t="shared" si="24"/>
        <v>0</v>
      </c>
      <c r="K128" s="339">
        <f t="shared" si="25"/>
        <v>0</v>
      </c>
      <c r="L128" s="375"/>
      <c r="M128" s="372"/>
      <c r="N128" s="372"/>
    </row>
    <row r="129" spans="1:14" s="373" customFormat="1" ht="25.5" hidden="1" outlineLevel="2" x14ac:dyDescent="0.2">
      <c r="A129" s="208" t="s">
        <v>1070</v>
      </c>
      <c r="B129" s="100" t="s">
        <v>618</v>
      </c>
      <c r="C129" s="100" t="s">
        <v>617</v>
      </c>
      <c r="D129" s="157" t="s">
        <v>250</v>
      </c>
      <c r="E129" s="277">
        <v>1</v>
      </c>
      <c r="F129" s="277">
        <f>15934*(1.023*1.005-2.3%*15%)*6.99+152801*4.09+41</f>
        <v>739123</v>
      </c>
      <c r="G129" s="299">
        <f>$G$327</f>
        <v>1.0960000000000001</v>
      </c>
      <c r="H129" s="339">
        <f t="shared" si="28"/>
        <v>810079</v>
      </c>
      <c r="I129" s="299">
        <f>Дефляторы!$D$98</f>
        <v>1.0429999999999999</v>
      </c>
      <c r="J129" s="339">
        <f t="shared" si="24"/>
        <v>844912</v>
      </c>
      <c r="K129" s="339">
        <f t="shared" si="25"/>
        <v>834462</v>
      </c>
      <c r="L129" s="372"/>
      <c r="M129" s="372"/>
      <c r="N129" s="372"/>
    </row>
    <row r="130" spans="1:14" s="373" customFormat="1" ht="15.75" hidden="1" outlineLevel="2" x14ac:dyDescent="0.2">
      <c r="A130" s="208" t="s">
        <v>1071</v>
      </c>
      <c r="B130" s="100" t="s">
        <v>621</v>
      </c>
      <c r="C130" s="100" t="s">
        <v>620</v>
      </c>
      <c r="D130" s="157" t="s">
        <v>250</v>
      </c>
      <c r="E130" s="277">
        <v>1</v>
      </c>
      <c r="F130" s="277">
        <f>2562*(1.023*1.005-2.3%*15%)*6.99+66296*4.09</f>
        <v>289501</v>
      </c>
      <c r="G130" s="299">
        <f>$G$327</f>
        <v>1.0960000000000001</v>
      </c>
      <c r="H130" s="339">
        <f t="shared" si="28"/>
        <v>317293</v>
      </c>
      <c r="I130" s="299">
        <f>Дефляторы!$D$98</f>
        <v>1.0429999999999999</v>
      </c>
      <c r="J130" s="339">
        <f t="shared" si="24"/>
        <v>330937</v>
      </c>
      <c r="K130" s="339">
        <f t="shared" si="25"/>
        <v>326844</v>
      </c>
      <c r="L130" s="372"/>
      <c r="M130" s="372"/>
      <c r="N130" s="372"/>
    </row>
    <row r="131" spans="1:14" s="373" customFormat="1" ht="15.75" hidden="1" outlineLevel="2" x14ac:dyDescent="0.2">
      <c r="A131" s="208"/>
      <c r="B131" s="100"/>
      <c r="C131" s="267" t="s">
        <v>1009</v>
      </c>
      <c r="D131" s="157"/>
      <c r="E131" s="277"/>
      <c r="F131" s="277"/>
      <c r="G131" s="299"/>
      <c r="H131" s="339"/>
      <c r="I131" s="299">
        <f>Дефляторы!$D$98</f>
        <v>1.0429999999999999</v>
      </c>
      <c r="J131" s="339">
        <f t="shared" si="24"/>
        <v>0</v>
      </c>
      <c r="K131" s="339">
        <f t="shared" si="25"/>
        <v>0</v>
      </c>
      <c r="L131" s="375"/>
      <c r="M131" s="372"/>
      <c r="N131" s="372"/>
    </row>
    <row r="132" spans="1:14" s="373" customFormat="1" ht="15.75" hidden="1" outlineLevel="2" x14ac:dyDescent="0.2">
      <c r="A132" s="208" t="s">
        <v>1072</v>
      </c>
      <c r="B132" s="100" t="s">
        <v>624</v>
      </c>
      <c r="C132" s="100" t="s">
        <v>1010</v>
      </c>
      <c r="D132" s="157" t="s">
        <v>250</v>
      </c>
      <c r="E132" s="277">
        <v>1</v>
      </c>
      <c r="F132" s="277">
        <f>12955*(1.023*1.005-2.3%*15%)*6.99+121938*4.09-20</f>
        <v>591495</v>
      </c>
      <c r="G132" s="299">
        <f>$G$327</f>
        <v>1.0960000000000001</v>
      </c>
      <c r="H132" s="339">
        <f t="shared" si="28"/>
        <v>648279</v>
      </c>
      <c r="I132" s="299">
        <f>Дефляторы!$D$98</f>
        <v>1.0429999999999999</v>
      </c>
      <c r="J132" s="339">
        <f t="shared" si="24"/>
        <v>676155</v>
      </c>
      <c r="K132" s="339">
        <f t="shared" si="25"/>
        <v>667792</v>
      </c>
      <c r="L132" s="372"/>
      <c r="M132" s="372"/>
      <c r="N132" s="372"/>
    </row>
    <row r="133" spans="1:14" s="373" customFormat="1" ht="15.75" hidden="1" outlineLevel="2" x14ac:dyDescent="0.2">
      <c r="A133" s="208" t="s">
        <v>1073</v>
      </c>
      <c r="B133" s="100" t="s">
        <v>626</v>
      </c>
      <c r="C133" s="100" t="s">
        <v>1011</v>
      </c>
      <c r="D133" s="157" t="s">
        <v>250</v>
      </c>
      <c r="E133" s="277">
        <v>1</v>
      </c>
      <c r="F133" s="277">
        <f>1449*(1.023*1.005-2.3%*15%)*6.99+2280*4.09</f>
        <v>19704</v>
      </c>
      <c r="G133" s="299">
        <f>$G$327</f>
        <v>1.0960000000000001</v>
      </c>
      <c r="H133" s="339">
        <f t="shared" si="28"/>
        <v>21596</v>
      </c>
      <c r="I133" s="299">
        <f>Дефляторы!$D$98</f>
        <v>1.0429999999999999</v>
      </c>
      <c r="J133" s="339">
        <f t="shared" si="24"/>
        <v>22525</v>
      </c>
      <c r="K133" s="339">
        <f t="shared" si="25"/>
        <v>22246</v>
      </c>
      <c r="L133" s="372"/>
      <c r="M133" s="372"/>
      <c r="N133" s="372"/>
    </row>
    <row r="134" spans="1:14" s="373" customFormat="1" ht="25.5" hidden="1" outlineLevel="2" x14ac:dyDescent="0.2">
      <c r="A134" s="208"/>
      <c r="B134" s="100"/>
      <c r="C134" s="267" t="s">
        <v>1020</v>
      </c>
      <c r="D134" s="157"/>
      <c r="E134" s="277"/>
      <c r="F134" s="277"/>
      <c r="G134" s="299"/>
      <c r="H134" s="339"/>
      <c r="I134" s="299">
        <f>Дефляторы!$D$98</f>
        <v>1.0429999999999999</v>
      </c>
      <c r="J134" s="339">
        <f t="shared" si="24"/>
        <v>0</v>
      </c>
      <c r="K134" s="339">
        <f t="shared" si="25"/>
        <v>0</v>
      </c>
      <c r="L134" s="372"/>
      <c r="M134" s="372"/>
      <c r="N134" s="372"/>
    </row>
    <row r="135" spans="1:14" s="373" customFormat="1" ht="15.75" hidden="1" outlineLevel="2" x14ac:dyDescent="0.2">
      <c r="A135" s="208" t="s">
        <v>1074</v>
      </c>
      <c r="B135" s="100" t="s">
        <v>670</v>
      </c>
      <c r="C135" s="100" t="s">
        <v>664</v>
      </c>
      <c r="D135" s="157" t="s">
        <v>271</v>
      </c>
      <c r="E135" s="277">
        <v>991</v>
      </c>
      <c r="F135" s="277">
        <f>(3145+346)*(1.023*1.005-2.3%*15%)*6.99</f>
        <v>25004</v>
      </c>
      <c r="G135" s="299">
        <f t="shared" ref="G135:G143" si="29">$G$327</f>
        <v>1.0960000000000001</v>
      </c>
      <c r="H135" s="339">
        <f t="shared" si="28"/>
        <v>27404</v>
      </c>
      <c r="I135" s="299">
        <f>Дефляторы!$D$98</f>
        <v>1.0429999999999999</v>
      </c>
      <c r="J135" s="339">
        <f t="shared" si="24"/>
        <v>28582</v>
      </c>
      <c r="K135" s="339">
        <f t="shared" si="25"/>
        <v>28229</v>
      </c>
      <c r="L135" s="372"/>
      <c r="M135" s="372"/>
      <c r="N135" s="372"/>
    </row>
    <row r="136" spans="1:14" s="373" customFormat="1" ht="38.25" hidden="1" outlineLevel="2" x14ac:dyDescent="0.2">
      <c r="A136" s="208" t="s">
        <v>1075</v>
      </c>
      <c r="B136" s="100" t="s">
        <v>672</v>
      </c>
      <c r="C136" s="100" t="s">
        <v>671</v>
      </c>
      <c r="D136" s="157" t="s">
        <v>262</v>
      </c>
      <c r="E136" s="277">
        <v>1</v>
      </c>
      <c r="F136" s="277">
        <f>(199+3)*(1.023*1.005-2.3%*15%)*6.99</f>
        <v>1447</v>
      </c>
      <c r="G136" s="299">
        <f t="shared" si="29"/>
        <v>1.0960000000000001</v>
      </c>
      <c r="H136" s="339">
        <f t="shared" si="28"/>
        <v>1586</v>
      </c>
      <c r="I136" s="299">
        <f>Дефляторы!$D$98</f>
        <v>1.0429999999999999</v>
      </c>
      <c r="J136" s="339">
        <f t="shared" si="24"/>
        <v>1654</v>
      </c>
      <c r="K136" s="339">
        <f t="shared" si="25"/>
        <v>1634</v>
      </c>
      <c r="L136" s="372"/>
      <c r="M136" s="372"/>
      <c r="N136" s="372"/>
    </row>
    <row r="137" spans="1:14" s="373" customFormat="1" ht="25.5" hidden="1" outlineLevel="2" x14ac:dyDescent="0.2">
      <c r="A137" s="208" t="s">
        <v>1076</v>
      </c>
      <c r="B137" s="100" t="s">
        <v>674</v>
      </c>
      <c r="C137" s="100" t="s">
        <v>666</v>
      </c>
      <c r="D137" s="157" t="s">
        <v>262</v>
      </c>
      <c r="E137" s="277">
        <v>751</v>
      </c>
      <c r="F137" s="277">
        <f>12315*(1.023*1.005-2.3%*15%)*6.99</f>
        <v>88205</v>
      </c>
      <c r="G137" s="299">
        <f t="shared" si="29"/>
        <v>1.0960000000000001</v>
      </c>
      <c r="H137" s="339">
        <f t="shared" si="28"/>
        <v>96673</v>
      </c>
      <c r="I137" s="299">
        <f>Дефляторы!$D$98</f>
        <v>1.0429999999999999</v>
      </c>
      <c r="J137" s="339">
        <f t="shared" si="24"/>
        <v>100830</v>
      </c>
      <c r="K137" s="339">
        <f t="shared" si="25"/>
        <v>99583</v>
      </c>
      <c r="L137" s="372" t="s">
        <v>673</v>
      </c>
      <c r="M137" s="372"/>
      <c r="N137" s="372"/>
    </row>
    <row r="138" spans="1:14" s="373" customFormat="1" ht="25.5" hidden="1" outlineLevel="2" x14ac:dyDescent="0.2">
      <c r="A138" s="208" t="s">
        <v>1077</v>
      </c>
      <c r="B138" s="100" t="s">
        <v>676</v>
      </c>
      <c r="C138" s="100" t="s">
        <v>675</v>
      </c>
      <c r="D138" s="157" t="s">
        <v>262</v>
      </c>
      <c r="E138" s="277">
        <v>751</v>
      </c>
      <c r="F138" s="277">
        <f>2416*(1.023*1.005-2.3%*15%)*6.99</f>
        <v>17304</v>
      </c>
      <c r="G138" s="299">
        <f t="shared" si="29"/>
        <v>1.0960000000000001</v>
      </c>
      <c r="H138" s="339">
        <f t="shared" si="28"/>
        <v>18965</v>
      </c>
      <c r="I138" s="299">
        <f>Дефляторы!$D$98</f>
        <v>1.0429999999999999</v>
      </c>
      <c r="J138" s="339">
        <f t="shared" si="24"/>
        <v>19780</v>
      </c>
      <c r="K138" s="339">
        <f t="shared" si="25"/>
        <v>19536</v>
      </c>
      <c r="L138" s="372"/>
      <c r="M138" s="372"/>
      <c r="N138" s="372"/>
    </row>
    <row r="139" spans="1:14" s="373" customFormat="1" ht="25.5" hidden="1" outlineLevel="2" x14ac:dyDescent="0.2">
      <c r="A139" s="208" t="s">
        <v>1078</v>
      </c>
      <c r="B139" s="100" t="s">
        <v>678</v>
      </c>
      <c r="C139" s="100" t="s">
        <v>677</v>
      </c>
      <c r="D139" s="157" t="s">
        <v>262</v>
      </c>
      <c r="E139" s="277">
        <v>38</v>
      </c>
      <c r="F139" s="277">
        <f>400*(1.023*1.005-2.3%*15%)*6.99</f>
        <v>2865</v>
      </c>
      <c r="G139" s="299">
        <f t="shared" si="29"/>
        <v>1.0960000000000001</v>
      </c>
      <c r="H139" s="339">
        <f t="shared" si="28"/>
        <v>3140</v>
      </c>
      <c r="I139" s="299">
        <f>Дефляторы!$D$98</f>
        <v>1.0429999999999999</v>
      </c>
      <c r="J139" s="339">
        <f t="shared" si="24"/>
        <v>3275</v>
      </c>
      <c r="K139" s="339">
        <f t="shared" si="25"/>
        <v>3235</v>
      </c>
      <c r="L139" s="375" t="s">
        <v>679</v>
      </c>
      <c r="M139" s="372"/>
      <c r="N139" s="372"/>
    </row>
    <row r="140" spans="1:14" s="373" customFormat="1" ht="25.5" hidden="1" outlineLevel="2" x14ac:dyDescent="0.2">
      <c r="A140" s="208" t="s">
        <v>1079</v>
      </c>
      <c r="B140" s="100" t="s">
        <v>680</v>
      </c>
      <c r="C140" s="100" t="s">
        <v>668</v>
      </c>
      <c r="D140" s="157" t="s">
        <v>271</v>
      </c>
      <c r="E140" s="277">
        <v>408</v>
      </c>
      <c r="F140" s="277">
        <f>(132+899+5854+4826-953)*(1.023*1.005-2.3%*15%)*6.99</f>
        <v>77053</v>
      </c>
      <c r="G140" s="299">
        <f t="shared" si="29"/>
        <v>1.0960000000000001</v>
      </c>
      <c r="H140" s="339">
        <f t="shared" si="28"/>
        <v>84450</v>
      </c>
      <c r="I140" s="299">
        <f>Дефляторы!$D$98</f>
        <v>1.0429999999999999</v>
      </c>
      <c r="J140" s="339">
        <f t="shared" si="24"/>
        <v>88081</v>
      </c>
      <c r="K140" s="339">
        <f t="shared" si="25"/>
        <v>86992</v>
      </c>
      <c r="L140" s="375"/>
      <c r="M140" s="372"/>
      <c r="N140" s="372"/>
    </row>
    <row r="141" spans="1:14" s="362" customFormat="1" ht="25.5" outlineLevel="1" collapsed="1" x14ac:dyDescent="0.2">
      <c r="A141" s="282" t="s">
        <v>294</v>
      </c>
      <c r="B141" s="283" t="s">
        <v>303</v>
      </c>
      <c r="C141" s="283" t="s">
        <v>1080</v>
      </c>
      <c r="D141" s="371" t="s">
        <v>283</v>
      </c>
      <c r="E141" s="154">
        <v>1</v>
      </c>
      <c r="F141" s="154">
        <f>27014*(1.023*1.005-2.3%*15%)*6.99</f>
        <v>193485</v>
      </c>
      <c r="G141" s="296">
        <f t="shared" si="29"/>
        <v>1.0960000000000001</v>
      </c>
      <c r="H141" s="337">
        <f t="shared" si="28"/>
        <v>212060</v>
      </c>
      <c r="I141" s="296">
        <f>Дефляторы!$D$107</f>
        <v>1.0449999999999999</v>
      </c>
      <c r="J141" s="337">
        <f t="shared" si="24"/>
        <v>221603</v>
      </c>
      <c r="K141" s="337">
        <f t="shared" si="25"/>
        <v>218740</v>
      </c>
      <c r="L141" s="360"/>
      <c r="M141" s="154">
        <v>2550</v>
      </c>
      <c r="N141" s="360"/>
    </row>
    <row r="142" spans="1:14" s="362" customFormat="1" ht="15.75" outlineLevel="1" x14ac:dyDescent="0.2">
      <c r="A142" s="282" t="s">
        <v>919</v>
      </c>
      <c r="B142" s="283"/>
      <c r="C142" s="283" t="s">
        <v>984</v>
      </c>
      <c r="D142" s="359" t="s">
        <v>250</v>
      </c>
      <c r="E142" s="154">
        <v>1</v>
      </c>
      <c r="F142" s="154">
        <f>F143+F173</f>
        <v>10741334</v>
      </c>
      <c r="G142" s="296">
        <f t="shared" si="29"/>
        <v>1.0960000000000001</v>
      </c>
      <c r="H142" s="337">
        <f>H143+H173</f>
        <v>11772503</v>
      </c>
      <c r="I142" s="296">
        <f>Дефляторы!$D$116</f>
        <v>1.042</v>
      </c>
      <c r="J142" s="337">
        <f>J143+J173</f>
        <v>12266948</v>
      </c>
      <c r="K142" s="337">
        <f>K143+K173</f>
        <v>12118619</v>
      </c>
      <c r="L142" s="360"/>
      <c r="M142" s="360"/>
      <c r="N142" s="360"/>
    </row>
    <row r="143" spans="1:14" s="196" customFormat="1" ht="15.75" hidden="1" outlineLevel="2" x14ac:dyDescent="0.2">
      <c r="A143" s="208" t="s">
        <v>1081</v>
      </c>
      <c r="B143" s="93"/>
      <c r="C143" s="93" t="s">
        <v>990</v>
      </c>
      <c r="D143" s="317" t="s">
        <v>250</v>
      </c>
      <c r="E143" s="158">
        <v>1</v>
      </c>
      <c r="F143" s="158">
        <f>SUM(F144:F172)</f>
        <v>2604338</v>
      </c>
      <c r="G143" s="298">
        <f t="shared" si="29"/>
        <v>1.0960000000000001</v>
      </c>
      <c r="H143" s="338">
        <f>SUM(H144:H172)</f>
        <v>2854354</v>
      </c>
      <c r="I143" s="298">
        <f>Дефляторы!$D$116</f>
        <v>1.042</v>
      </c>
      <c r="J143" s="338">
        <f>SUM(J144:J172)</f>
        <v>2974238</v>
      </c>
      <c r="K143" s="338">
        <f>SUM(K144:K172)</f>
        <v>2938277</v>
      </c>
      <c r="L143" s="195"/>
      <c r="M143" s="195"/>
      <c r="N143" s="195"/>
    </row>
    <row r="144" spans="1:14" s="390" customFormat="1" ht="15.75" hidden="1" outlineLevel="3" x14ac:dyDescent="0.2">
      <c r="A144" s="258"/>
      <c r="B144" s="132"/>
      <c r="C144" s="192" t="s">
        <v>429</v>
      </c>
      <c r="D144" s="314"/>
      <c r="E144" s="278"/>
      <c r="F144" s="278"/>
      <c r="G144" s="387"/>
      <c r="H144" s="388"/>
      <c r="I144" s="387">
        <f>Дефляторы!$D$116</f>
        <v>1.042</v>
      </c>
      <c r="J144" s="388"/>
      <c r="K144" s="388"/>
      <c r="L144" s="194"/>
      <c r="M144" s="194"/>
      <c r="N144" s="194"/>
    </row>
    <row r="145" spans="1:14" s="390" customFormat="1" ht="15.75" hidden="1" outlineLevel="3" x14ac:dyDescent="0.2">
      <c r="A145" s="191" t="s">
        <v>1082</v>
      </c>
      <c r="B145" s="132" t="s">
        <v>997</v>
      </c>
      <c r="C145" s="132" t="s">
        <v>994</v>
      </c>
      <c r="D145" s="314" t="s">
        <v>262</v>
      </c>
      <c r="E145" s="315">
        <f>0.61</f>
        <v>0.61</v>
      </c>
      <c r="F145" s="233">
        <f>(784+1431+42+16+214)*(1.023*1.005-2.3%*15%)*6.99</f>
        <v>17813</v>
      </c>
      <c r="G145" s="387">
        <f>$G$327</f>
        <v>1.0960000000000001</v>
      </c>
      <c r="H145" s="388">
        <f t="shared" si="28"/>
        <v>19523</v>
      </c>
      <c r="I145" s="387">
        <f>Дефляторы!$D$116</f>
        <v>1.042</v>
      </c>
      <c r="J145" s="388">
        <f t="shared" ref="J145:J172" si="30">H145*I145</f>
        <v>20343</v>
      </c>
      <c r="K145" s="388">
        <f t="shared" ref="K145:K172" si="31">H145+(J145-H145)*(1-30/100)</f>
        <v>20097</v>
      </c>
      <c r="L145" s="194"/>
      <c r="M145" s="194"/>
      <c r="N145" s="194"/>
    </row>
    <row r="146" spans="1:14" s="390" customFormat="1" ht="15.75" hidden="1" outlineLevel="3" x14ac:dyDescent="0.2">
      <c r="A146" s="191" t="s">
        <v>1083</v>
      </c>
      <c r="B146" s="132" t="s">
        <v>998</v>
      </c>
      <c r="C146" s="132" t="s">
        <v>995</v>
      </c>
      <c r="D146" s="314" t="s">
        <v>996</v>
      </c>
      <c r="E146" s="399">
        <f>0.0966</f>
        <v>9.6600000000000005E-2</v>
      </c>
      <c r="F146" s="233">
        <f>(84+711+65)*(1.023*1.005-2.3%*15%)*6.99</f>
        <v>6160</v>
      </c>
      <c r="G146" s="387">
        <f>$G$327</f>
        <v>1.0960000000000001</v>
      </c>
      <c r="H146" s="388">
        <f t="shared" si="28"/>
        <v>6751</v>
      </c>
      <c r="I146" s="387">
        <f>Дефляторы!$D$116</f>
        <v>1.042</v>
      </c>
      <c r="J146" s="388">
        <f t="shared" si="30"/>
        <v>7035</v>
      </c>
      <c r="K146" s="388">
        <f t="shared" si="31"/>
        <v>6950</v>
      </c>
      <c r="L146" s="194"/>
      <c r="M146" s="194"/>
      <c r="N146" s="194"/>
    </row>
    <row r="147" spans="1:14" s="390" customFormat="1" ht="15.75" hidden="1" outlineLevel="3" x14ac:dyDescent="0.2">
      <c r="A147" s="191"/>
      <c r="B147" s="132"/>
      <c r="C147" s="192" t="s">
        <v>993</v>
      </c>
      <c r="D147" s="315"/>
      <c r="E147" s="233"/>
      <c r="F147" s="233"/>
      <c r="G147" s="387"/>
      <c r="H147" s="388"/>
      <c r="I147" s="387">
        <f>Дефляторы!$D$116</f>
        <v>1.042</v>
      </c>
      <c r="J147" s="388">
        <f t="shared" si="30"/>
        <v>0</v>
      </c>
      <c r="K147" s="388">
        <f t="shared" si="31"/>
        <v>0</v>
      </c>
      <c r="L147" s="194"/>
      <c r="M147" s="194"/>
      <c r="N147" s="194"/>
    </row>
    <row r="148" spans="1:14" s="390" customFormat="1" ht="102" hidden="1" outlineLevel="3" x14ac:dyDescent="0.2">
      <c r="A148" s="191" t="s">
        <v>1084</v>
      </c>
      <c r="B148" s="132" t="s">
        <v>437</v>
      </c>
      <c r="C148" s="132" t="s">
        <v>432</v>
      </c>
      <c r="D148" s="315" t="s">
        <v>283</v>
      </c>
      <c r="E148" s="233">
        <v>1</v>
      </c>
      <c r="F148" s="233">
        <f>580*(1.023*1.005-2.3%*15%)*6.99+246606*4.09-12</f>
        <v>1012761</v>
      </c>
      <c r="G148" s="387">
        <f t="shared" ref="G148:G162" si="32">$G$327</f>
        <v>1.0960000000000001</v>
      </c>
      <c r="H148" s="388">
        <f t="shared" si="28"/>
        <v>1109986</v>
      </c>
      <c r="I148" s="387">
        <f>Дефляторы!$D$116</f>
        <v>1.042</v>
      </c>
      <c r="J148" s="388">
        <f t="shared" si="30"/>
        <v>1156605</v>
      </c>
      <c r="K148" s="388">
        <f t="shared" si="31"/>
        <v>1142619</v>
      </c>
      <c r="L148" s="389" t="s">
        <v>789</v>
      </c>
      <c r="M148" s="194"/>
      <c r="N148" s="194"/>
    </row>
    <row r="149" spans="1:14" s="390" customFormat="1" ht="25.5" hidden="1" outlineLevel="3" x14ac:dyDescent="0.2">
      <c r="A149" s="191" t="s">
        <v>1085</v>
      </c>
      <c r="B149" s="132" t="s">
        <v>436</v>
      </c>
      <c r="C149" s="132" t="s">
        <v>435</v>
      </c>
      <c r="D149" s="315" t="s">
        <v>271</v>
      </c>
      <c r="E149" s="233">
        <v>40</v>
      </c>
      <c r="F149" s="233">
        <f>(39265-4881-9346)*(1.023*1.005-2.3%*15%)*6.99</f>
        <v>179332</v>
      </c>
      <c r="G149" s="387">
        <f t="shared" si="32"/>
        <v>1.0960000000000001</v>
      </c>
      <c r="H149" s="388">
        <f t="shared" si="28"/>
        <v>196548</v>
      </c>
      <c r="I149" s="387">
        <f>Дефляторы!$D$116</f>
        <v>1.042</v>
      </c>
      <c r="J149" s="388">
        <f t="shared" si="30"/>
        <v>204803</v>
      </c>
      <c r="K149" s="388">
        <f t="shared" si="31"/>
        <v>202327</v>
      </c>
      <c r="L149" s="194"/>
      <c r="M149" s="194"/>
      <c r="N149" s="194"/>
    </row>
    <row r="150" spans="1:14" s="390" customFormat="1" ht="63.75" hidden="1" outlineLevel="3" x14ac:dyDescent="0.2">
      <c r="A150" s="191" t="s">
        <v>1086</v>
      </c>
      <c r="B150" s="132" t="s">
        <v>434</v>
      </c>
      <c r="C150" s="132" t="s">
        <v>433</v>
      </c>
      <c r="D150" s="315" t="s">
        <v>363</v>
      </c>
      <c r="E150" s="278">
        <f>49.8</f>
        <v>49.8</v>
      </c>
      <c r="F150" s="233">
        <f>(4881+9346)*(1.023*1.005-2.3%*15%)*6.99</f>
        <v>101900</v>
      </c>
      <c r="G150" s="387">
        <f t="shared" si="32"/>
        <v>1.0960000000000001</v>
      </c>
      <c r="H150" s="388">
        <f t="shared" si="28"/>
        <v>111682</v>
      </c>
      <c r="I150" s="387">
        <f>Дефляторы!$D$116</f>
        <v>1.042</v>
      </c>
      <c r="J150" s="388">
        <f t="shared" si="30"/>
        <v>116373</v>
      </c>
      <c r="K150" s="388">
        <f t="shared" si="31"/>
        <v>114966</v>
      </c>
      <c r="L150" s="389" t="s">
        <v>790</v>
      </c>
      <c r="M150" s="194"/>
      <c r="N150" s="194"/>
    </row>
    <row r="151" spans="1:14" s="390" customFormat="1" ht="15.75" hidden="1" outlineLevel="3" x14ac:dyDescent="0.2">
      <c r="A151" s="191" t="s">
        <v>1087</v>
      </c>
      <c r="B151" s="132" t="s">
        <v>439</v>
      </c>
      <c r="C151" s="132" t="s">
        <v>438</v>
      </c>
      <c r="D151" s="315" t="s">
        <v>271</v>
      </c>
      <c r="E151" s="233">
        <v>33</v>
      </c>
      <c r="F151" s="233">
        <f>(9813+181)*(1.023*1.005-2.3%*15%)*6.99</f>
        <v>71581</v>
      </c>
      <c r="G151" s="387">
        <f t="shared" si="32"/>
        <v>1.0960000000000001</v>
      </c>
      <c r="H151" s="388">
        <f t="shared" si="28"/>
        <v>78453</v>
      </c>
      <c r="I151" s="387">
        <f>Дефляторы!$D$116</f>
        <v>1.042</v>
      </c>
      <c r="J151" s="388">
        <f t="shared" si="30"/>
        <v>81748</v>
      </c>
      <c r="K151" s="388">
        <f t="shared" si="31"/>
        <v>80760</v>
      </c>
      <c r="L151" s="194"/>
      <c r="M151" s="194"/>
      <c r="N151" s="194"/>
    </row>
    <row r="152" spans="1:14" s="390" customFormat="1" ht="15.75" hidden="1" outlineLevel="3" x14ac:dyDescent="0.2">
      <c r="A152" s="191" t="s">
        <v>1088</v>
      </c>
      <c r="B152" s="132" t="s">
        <v>441</v>
      </c>
      <c r="C152" s="132" t="s">
        <v>440</v>
      </c>
      <c r="D152" s="315" t="s">
        <v>271</v>
      </c>
      <c r="E152" s="233">
        <v>7</v>
      </c>
      <c r="F152" s="233">
        <f>(6066+25374+134)*(1.023*1.005-2.3%*15%)*6.99</f>
        <v>226146</v>
      </c>
      <c r="G152" s="387">
        <f t="shared" si="32"/>
        <v>1.0960000000000001</v>
      </c>
      <c r="H152" s="388">
        <f t="shared" si="28"/>
        <v>247856</v>
      </c>
      <c r="I152" s="387">
        <f>Дефляторы!$D$116</f>
        <v>1.042</v>
      </c>
      <c r="J152" s="388">
        <f t="shared" si="30"/>
        <v>258266</v>
      </c>
      <c r="K152" s="388">
        <f t="shared" si="31"/>
        <v>255143</v>
      </c>
      <c r="L152" s="194"/>
      <c r="M152" s="194"/>
      <c r="N152" s="194"/>
    </row>
    <row r="153" spans="1:14" s="390" customFormat="1" ht="15.75" hidden="1" outlineLevel="3" x14ac:dyDescent="0.2">
      <c r="A153" s="191" t="s">
        <v>1089</v>
      </c>
      <c r="B153" s="132" t="s">
        <v>442</v>
      </c>
      <c r="C153" s="132" t="s">
        <v>443</v>
      </c>
      <c r="D153" s="315" t="s">
        <v>250</v>
      </c>
      <c r="E153" s="233">
        <v>1</v>
      </c>
      <c r="F153" s="233">
        <f>7415*(1.023*1.005-2.3%*15%)*6.99</f>
        <v>53109</v>
      </c>
      <c r="G153" s="387">
        <f t="shared" si="32"/>
        <v>1.0960000000000001</v>
      </c>
      <c r="H153" s="388">
        <f t="shared" si="28"/>
        <v>58207</v>
      </c>
      <c r="I153" s="387">
        <f>Дефляторы!$D$116</f>
        <v>1.042</v>
      </c>
      <c r="J153" s="388">
        <f t="shared" si="30"/>
        <v>60652</v>
      </c>
      <c r="K153" s="388">
        <f t="shared" si="31"/>
        <v>59919</v>
      </c>
      <c r="L153" s="194"/>
      <c r="M153" s="194"/>
      <c r="N153" s="194"/>
    </row>
    <row r="154" spans="1:14" s="390" customFormat="1" ht="51" hidden="1" outlineLevel="3" x14ac:dyDescent="0.2">
      <c r="A154" s="191" t="s">
        <v>1090</v>
      </c>
      <c r="B154" s="132" t="s">
        <v>446</v>
      </c>
      <c r="C154" s="132" t="s">
        <v>444</v>
      </c>
      <c r="D154" s="315" t="s">
        <v>363</v>
      </c>
      <c r="E154" s="278">
        <f>3.8</f>
        <v>3.8</v>
      </c>
      <c r="F154" s="233">
        <f>2020*(1.023*1.005-2.3%*15%)*6.99</f>
        <v>14468</v>
      </c>
      <c r="G154" s="387">
        <f t="shared" si="32"/>
        <v>1.0960000000000001</v>
      </c>
      <c r="H154" s="388">
        <f t="shared" si="28"/>
        <v>15857</v>
      </c>
      <c r="I154" s="387">
        <f>Дефляторы!$D$116</f>
        <v>1.042</v>
      </c>
      <c r="J154" s="388">
        <f t="shared" si="30"/>
        <v>16523</v>
      </c>
      <c r="K154" s="388">
        <f t="shared" si="31"/>
        <v>16323</v>
      </c>
      <c r="L154" s="389" t="s">
        <v>791</v>
      </c>
      <c r="M154" s="194"/>
      <c r="N154" s="194"/>
    </row>
    <row r="155" spans="1:14" s="390" customFormat="1" ht="15.75" hidden="1" outlineLevel="3" x14ac:dyDescent="0.2">
      <c r="A155" s="191" t="s">
        <v>1091</v>
      </c>
      <c r="B155" s="132" t="s">
        <v>447</v>
      </c>
      <c r="C155" s="132" t="s">
        <v>445</v>
      </c>
      <c r="D155" s="315" t="s">
        <v>305</v>
      </c>
      <c r="E155" s="233">
        <v>1</v>
      </c>
      <c r="F155" s="233">
        <f>(425+12736)*(1.023*1.005-2.3%*15%)*6.99</f>
        <v>94264</v>
      </c>
      <c r="G155" s="387">
        <f t="shared" si="32"/>
        <v>1.0960000000000001</v>
      </c>
      <c r="H155" s="388">
        <f t="shared" si="28"/>
        <v>103313</v>
      </c>
      <c r="I155" s="387">
        <f>Дефляторы!$D$116</f>
        <v>1.042</v>
      </c>
      <c r="J155" s="388">
        <f t="shared" si="30"/>
        <v>107652</v>
      </c>
      <c r="K155" s="388">
        <f t="shared" si="31"/>
        <v>106350</v>
      </c>
      <c r="L155" s="389"/>
      <c r="M155" s="194"/>
      <c r="N155" s="194"/>
    </row>
    <row r="156" spans="1:14" s="390" customFormat="1" ht="15.75" hidden="1" outlineLevel="3" x14ac:dyDescent="0.2">
      <c r="A156" s="191" t="s">
        <v>1092</v>
      </c>
      <c r="B156" s="132" t="s">
        <v>449</v>
      </c>
      <c r="C156" s="132" t="s">
        <v>448</v>
      </c>
      <c r="D156" s="315" t="s">
        <v>305</v>
      </c>
      <c r="E156" s="233">
        <v>2</v>
      </c>
      <c r="F156" s="233">
        <f>(301+7132)*(1.023*1.005-2.3%*15%)*6.99</f>
        <v>53238</v>
      </c>
      <c r="G156" s="387">
        <f t="shared" si="32"/>
        <v>1.0960000000000001</v>
      </c>
      <c r="H156" s="388">
        <f t="shared" si="28"/>
        <v>58349</v>
      </c>
      <c r="I156" s="387">
        <f>Дефляторы!$D$116</f>
        <v>1.042</v>
      </c>
      <c r="J156" s="388">
        <f t="shared" si="30"/>
        <v>60800</v>
      </c>
      <c r="K156" s="388">
        <f t="shared" si="31"/>
        <v>60065</v>
      </c>
      <c r="L156" s="389"/>
      <c r="M156" s="194"/>
      <c r="N156" s="194"/>
    </row>
    <row r="157" spans="1:14" s="390" customFormat="1" ht="15.75" hidden="1" outlineLevel="3" x14ac:dyDescent="0.2">
      <c r="A157" s="191" t="s">
        <v>1093</v>
      </c>
      <c r="B157" s="132" t="s">
        <v>451</v>
      </c>
      <c r="C157" s="132" t="s">
        <v>450</v>
      </c>
      <c r="D157" s="315" t="s">
        <v>363</v>
      </c>
      <c r="E157" s="278">
        <v>4.2</v>
      </c>
      <c r="F157" s="233">
        <f>(168+153)*(1.023*1.005-2.3%*15%)*6.99</f>
        <v>2299</v>
      </c>
      <c r="G157" s="387">
        <f t="shared" si="32"/>
        <v>1.0960000000000001</v>
      </c>
      <c r="H157" s="388">
        <f t="shared" si="28"/>
        <v>2520</v>
      </c>
      <c r="I157" s="387">
        <f>Дефляторы!$D$116</f>
        <v>1.042</v>
      </c>
      <c r="J157" s="388">
        <f t="shared" si="30"/>
        <v>2626</v>
      </c>
      <c r="K157" s="388">
        <f t="shared" si="31"/>
        <v>2594</v>
      </c>
      <c r="L157" s="389"/>
      <c r="M157" s="194"/>
      <c r="N157" s="194"/>
    </row>
    <row r="158" spans="1:14" s="390" customFormat="1" ht="38.25" hidden="1" outlineLevel="3" x14ac:dyDescent="0.2">
      <c r="A158" s="191" t="s">
        <v>1094</v>
      </c>
      <c r="B158" s="132" t="s">
        <v>453</v>
      </c>
      <c r="C158" s="132" t="s">
        <v>452</v>
      </c>
      <c r="D158" s="315" t="s">
        <v>305</v>
      </c>
      <c r="E158" s="233">
        <v>1</v>
      </c>
      <c r="F158" s="233">
        <f>(316+3778+95+93+49+371)*(1.023*1.005-2.3%*15%)*6.99</f>
        <v>33678</v>
      </c>
      <c r="G158" s="387">
        <f t="shared" si="32"/>
        <v>1.0960000000000001</v>
      </c>
      <c r="H158" s="388">
        <f t="shared" si="28"/>
        <v>36911</v>
      </c>
      <c r="I158" s="387">
        <f>Дефляторы!$D$116</f>
        <v>1.042</v>
      </c>
      <c r="J158" s="388">
        <f t="shared" si="30"/>
        <v>38461</v>
      </c>
      <c r="K158" s="388">
        <f t="shared" si="31"/>
        <v>37996</v>
      </c>
      <c r="L158" s="389"/>
      <c r="M158" s="194"/>
      <c r="N158" s="194"/>
    </row>
    <row r="159" spans="1:14" s="390" customFormat="1" ht="25.5" hidden="1" outlineLevel="3" x14ac:dyDescent="0.2">
      <c r="A159" s="191" t="s">
        <v>1095</v>
      </c>
      <c r="B159" s="132" t="s">
        <v>454</v>
      </c>
      <c r="C159" s="132" t="s">
        <v>455</v>
      </c>
      <c r="D159" s="315" t="s">
        <v>271</v>
      </c>
      <c r="E159" s="233">
        <v>7</v>
      </c>
      <c r="F159" s="233">
        <f>3896*(1.023*1.005-2.3%*15%)*6.99</f>
        <v>27905</v>
      </c>
      <c r="G159" s="387">
        <f t="shared" si="32"/>
        <v>1.0960000000000001</v>
      </c>
      <c r="H159" s="388">
        <f t="shared" si="28"/>
        <v>30584</v>
      </c>
      <c r="I159" s="387">
        <f>Дефляторы!$D$116</f>
        <v>1.042</v>
      </c>
      <c r="J159" s="388">
        <f t="shared" si="30"/>
        <v>31869</v>
      </c>
      <c r="K159" s="388">
        <f t="shared" si="31"/>
        <v>31484</v>
      </c>
      <c r="L159" s="389"/>
      <c r="M159" s="194"/>
      <c r="N159" s="194"/>
    </row>
    <row r="160" spans="1:14" s="390" customFormat="1" ht="15.75" hidden="1" outlineLevel="3" x14ac:dyDescent="0.2">
      <c r="A160" s="191" t="s">
        <v>1096</v>
      </c>
      <c r="B160" s="132" t="s">
        <v>457</v>
      </c>
      <c r="C160" s="132" t="s">
        <v>456</v>
      </c>
      <c r="D160" s="315" t="s">
        <v>271</v>
      </c>
      <c r="E160" s="233">
        <v>30</v>
      </c>
      <c r="F160" s="233">
        <f>4170*(1.023*1.005-2.3%*15%)*6.99</f>
        <v>29867</v>
      </c>
      <c r="G160" s="387">
        <f t="shared" si="32"/>
        <v>1.0960000000000001</v>
      </c>
      <c r="H160" s="388">
        <f t="shared" si="28"/>
        <v>32734</v>
      </c>
      <c r="I160" s="387">
        <f>Дефляторы!$D$116</f>
        <v>1.042</v>
      </c>
      <c r="J160" s="388">
        <f t="shared" si="30"/>
        <v>34109</v>
      </c>
      <c r="K160" s="388">
        <f t="shared" si="31"/>
        <v>33697</v>
      </c>
      <c r="L160" s="389"/>
      <c r="M160" s="194"/>
      <c r="N160" s="194"/>
    </row>
    <row r="161" spans="1:14" s="390" customFormat="1" ht="15.75" hidden="1" outlineLevel="3" x14ac:dyDescent="0.2">
      <c r="A161" s="191" t="s">
        <v>1097</v>
      </c>
      <c r="B161" s="132" t="s">
        <v>459</v>
      </c>
      <c r="C161" s="132" t="s">
        <v>458</v>
      </c>
      <c r="D161" s="315" t="s">
        <v>271</v>
      </c>
      <c r="E161" s="233">
        <v>7</v>
      </c>
      <c r="F161" s="233">
        <f>823*(1.023*1.005-2.3%*15%)*6.99</f>
        <v>5895</v>
      </c>
      <c r="G161" s="387">
        <f t="shared" si="32"/>
        <v>1.0960000000000001</v>
      </c>
      <c r="H161" s="388">
        <f t="shared" si="28"/>
        <v>6461</v>
      </c>
      <c r="I161" s="387">
        <f>Дефляторы!$D$116</f>
        <v>1.042</v>
      </c>
      <c r="J161" s="388">
        <f t="shared" si="30"/>
        <v>6732</v>
      </c>
      <c r="K161" s="388">
        <f t="shared" si="31"/>
        <v>6651</v>
      </c>
      <c r="L161" s="389"/>
      <c r="M161" s="194"/>
      <c r="N161" s="194"/>
    </row>
    <row r="162" spans="1:14" s="390" customFormat="1" ht="15.75" hidden="1" outlineLevel="3" x14ac:dyDescent="0.2">
      <c r="A162" s="191" t="s">
        <v>1098</v>
      </c>
      <c r="B162" s="132" t="s">
        <v>462</v>
      </c>
      <c r="C162" s="132" t="s">
        <v>461</v>
      </c>
      <c r="D162" s="315" t="s">
        <v>305</v>
      </c>
      <c r="E162" s="233">
        <v>2</v>
      </c>
      <c r="F162" s="233">
        <f>1058*(1.023*1.005-2.3%*15%)*6.99+15</f>
        <v>7593</v>
      </c>
      <c r="G162" s="387">
        <f t="shared" si="32"/>
        <v>1.0960000000000001</v>
      </c>
      <c r="H162" s="388">
        <f t="shared" si="28"/>
        <v>8322</v>
      </c>
      <c r="I162" s="387">
        <f>Дефляторы!$D$116</f>
        <v>1.042</v>
      </c>
      <c r="J162" s="388">
        <f t="shared" si="30"/>
        <v>8672</v>
      </c>
      <c r="K162" s="388">
        <f t="shared" si="31"/>
        <v>8567</v>
      </c>
      <c r="L162" s="194"/>
      <c r="M162" s="194"/>
      <c r="N162" s="194"/>
    </row>
    <row r="163" spans="1:14" s="390" customFormat="1" ht="15.75" hidden="1" outlineLevel="3" x14ac:dyDescent="0.2">
      <c r="A163" s="191"/>
      <c r="B163" s="132"/>
      <c r="C163" s="192" t="s">
        <v>992</v>
      </c>
      <c r="D163" s="315"/>
      <c r="E163" s="233"/>
      <c r="F163" s="233"/>
      <c r="G163" s="387"/>
      <c r="H163" s="388"/>
      <c r="I163" s="387">
        <f>Дефляторы!$D$116</f>
        <v>1.042</v>
      </c>
      <c r="J163" s="388">
        <f t="shared" si="30"/>
        <v>0</v>
      </c>
      <c r="K163" s="388">
        <f t="shared" si="31"/>
        <v>0</v>
      </c>
      <c r="L163" s="194"/>
      <c r="M163" s="194"/>
      <c r="N163" s="194"/>
    </row>
    <row r="164" spans="1:14" s="390" customFormat="1" ht="25.5" hidden="1" outlineLevel="3" x14ac:dyDescent="0.2">
      <c r="A164" s="191" t="s">
        <v>1099</v>
      </c>
      <c r="B164" s="132" t="s">
        <v>464</v>
      </c>
      <c r="C164" s="132" t="s">
        <v>463</v>
      </c>
      <c r="D164" s="315" t="s">
        <v>283</v>
      </c>
      <c r="E164" s="233">
        <v>1</v>
      </c>
      <c r="F164" s="233">
        <f>309*(1.023*1.005-2.3%*15%)*6.99+23057*4.09</f>
        <v>96516</v>
      </c>
      <c r="G164" s="387">
        <f>$G$327</f>
        <v>1.0960000000000001</v>
      </c>
      <c r="H164" s="388">
        <f t="shared" si="28"/>
        <v>105782</v>
      </c>
      <c r="I164" s="387">
        <f>Дефляторы!$D$116</f>
        <v>1.042</v>
      </c>
      <c r="J164" s="388">
        <f t="shared" si="30"/>
        <v>110225</v>
      </c>
      <c r="K164" s="388">
        <f t="shared" si="31"/>
        <v>108892</v>
      </c>
      <c r="L164" s="194"/>
      <c r="M164" s="194"/>
      <c r="N164" s="194"/>
    </row>
    <row r="165" spans="1:14" s="390" customFormat="1" ht="25.5" hidden="1" outlineLevel="3" x14ac:dyDescent="0.2">
      <c r="A165" s="191" t="s">
        <v>1100</v>
      </c>
      <c r="B165" s="132" t="s">
        <v>466</v>
      </c>
      <c r="C165" s="132" t="s">
        <v>465</v>
      </c>
      <c r="D165" s="315" t="s">
        <v>283</v>
      </c>
      <c r="E165" s="233">
        <v>1</v>
      </c>
      <c r="F165" s="233">
        <f>1724*(1.023*1.005-2.3%*15%)*6.99+38903*4.09+7</f>
        <v>171468</v>
      </c>
      <c r="G165" s="387">
        <f>$G$327</f>
        <v>1.0960000000000001</v>
      </c>
      <c r="H165" s="388">
        <f t="shared" si="28"/>
        <v>187929</v>
      </c>
      <c r="I165" s="387">
        <f>Дефляторы!$D$116</f>
        <v>1.042</v>
      </c>
      <c r="J165" s="388">
        <f t="shared" si="30"/>
        <v>195822</v>
      </c>
      <c r="K165" s="388">
        <f t="shared" si="31"/>
        <v>193454</v>
      </c>
      <c r="L165" s="194"/>
      <c r="M165" s="194"/>
      <c r="N165" s="194"/>
    </row>
    <row r="166" spans="1:14" s="390" customFormat="1" ht="15.75" hidden="1" outlineLevel="3" x14ac:dyDescent="0.2">
      <c r="A166" s="191" t="s">
        <v>1101</v>
      </c>
      <c r="B166" s="132" t="s">
        <v>468</v>
      </c>
      <c r="C166" s="132" t="s">
        <v>467</v>
      </c>
      <c r="D166" s="315" t="s">
        <v>250</v>
      </c>
      <c r="E166" s="233">
        <v>1</v>
      </c>
      <c r="F166" s="233">
        <f>4686*(1.023*1.005-2.3%*15%)*6.99</f>
        <v>33563</v>
      </c>
      <c r="G166" s="387">
        <f>$G$327</f>
        <v>1.0960000000000001</v>
      </c>
      <c r="H166" s="388">
        <f t="shared" si="28"/>
        <v>36785</v>
      </c>
      <c r="I166" s="387">
        <f>Дефляторы!$D$116</f>
        <v>1.042</v>
      </c>
      <c r="J166" s="388">
        <f t="shared" si="30"/>
        <v>38330</v>
      </c>
      <c r="K166" s="388">
        <f t="shared" si="31"/>
        <v>37867</v>
      </c>
      <c r="L166" s="194"/>
      <c r="M166" s="194"/>
      <c r="N166" s="194"/>
    </row>
    <row r="167" spans="1:14" s="390" customFormat="1" ht="15.75" hidden="1" outlineLevel="3" x14ac:dyDescent="0.2">
      <c r="A167" s="191" t="s">
        <v>1102</v>
      </c>
      <c r="B167" s="132" t="s">
        <v>470</v>
      </c>
      <c r="C167" s="132" t="s">
        <v>469</v>
      </c>
      <c r="D167" s="315" t="s">
        <v>250</v>
      </c>
      <c r="E167" s="233">
        <v>1</v>
      </c>
      <c r="F167" s="233">
        <f>19618*(1.023*1.005-2.3%*15%)*6.99</f>
        <v>140512</v>
      </c>
      <c r="G167" s="387">
        <f>$G$327</f>
        <v>1.0960000000000001</v>
      </c>
      <c r="H167" s="388">
        <f t="shared" si="28"/>
        <v>154001</v>
      </c>
      <c r="I167" s="387">
        <f>Дефляторы!$D$116</f>
        <v>1.042</v>
      </c>
      <c r="J167" s="388">
        <f t="shared" si="30"/>
        <v>160469</v>
      </c>
      <c r="K167" s="388">
        <f t="shared" si="31"/>
        <v>158529</v>
      </c>
      <c r="L167" s="194"/>
      <c r="M167" s="194"/>
      <c r="N167" s="194"/>
    </row>
    <row r="168" spans="1:14" s="390" customFormat="1" ht="15.75" hidden="1" outlineLevel="3" x14ac:dyDescent="0.2">
      <c r="A168" s="191" t="s">
        <v>1103</v>
      </c>
      <c r="B168" s="132" t="s">
        <v>472</v>
      </c>
      <c r="C168" s="132" t="s">
        <v>471</v>
      </c>
      <c r="D168" s="315" t="s">
        <v>250</v>
      </c>
      <c r="E168" s="233">
        <v>1</v>
      </c>
      <c r="F168" s="233">
        <f>25582*(1.023*1.005-2.3%*15%)*6.99</f>
        <v>183229</v>
      </c>
      <c r="G168" s="387">
        <f>$G$327</f>
        <v>1.0960000000000001</v>
      </c>
      <c r="H168" s="388">
        <f t="shared" ref="H168" si="33">F168*G168</f>
        <v>200819</v>
      </c>
      <c r="I168" s="387">
        <f>Дефляторы!$D$116</f>
        <v>1.042</v>
      </c>
      <c r="J168" s="388">
        <f t="shared" si="30"/>
        <v>209253</v>
      </c>
      <c r="K168" s="388">
        <f t="shared" si="31"/>
        <v>206723</v>
      </c>
      <c r="L168" s="194"/>
      <c r="M168" s="194"/>
      <c r="N168" s="194"/>
    </row>
    <row r="169" spans="1:14" s="390" customFormat="1" ht="15.75" hidden="1" outlineLevel="3" x14ac:dyDescent="0.2">
      <c r="A169" s="191"/>
      <c r="B169" s="132"/>
      <c r="C169" s="192" t="s">
        <v>999</v>
      </c>
      <c r="D169" s="315"/>
      <c r="E169" s="233"/>
      <c r="F169" s="233"/>
      <c r="G169" s="387"/>
      <c r="H169" s="388"/>
      <c r="I169" s="387">
        <f>Дефляторы!$D$116</f>
        <v>1.042</v>
      </c>
      <c r="J169" s="388">
        <f t="shared" si="30"/>
        <v>0</v>
      </c>
      <c r="K169" s="388">
        <f t="shared" si="31"/>
        <v>0</v>
      </c>
      <c r="L169" s="194"/>
      <c r="M169" s="194"/>
      <c r="N169" s="194"/>
    </row>
    <row r="170" spans="1:14" s="390" customFormat="1" ht="63.75" hidden="1" outlineLevel="3" x14ac:dyDescent="0.2">
      <c r="A170" s="191" t="s">
        <v>1104</v>
      </c>
      <c r="B170" s="132" t="s">
        <v>474</v>
      </c>
      <c r="C170" s="132" t="s">
        <v>473</v>
      </c>
      <c r="D170" s="315" t="s">
        <v>283</v>
      </c>
      <c r="E170" s="233">
        <v>1</v>
      </c>
      <c r="F170" s="233">
        <f>(138/3+3643)*(1.023*1.005-2.3%*15%)*6.99+0*4.09+37</f>
        <v>26459</v>
      </c>
      <c r="G170" s="387">
        <f>$G$327</f>
        <v>1.0960000000000001</v>
      </c>
      <c r="H170" s="388">
        <f t="shared" ref="H170:H233" si="34">F170*G170</f>
        <v>28999</v>
      </c>
      <c r="I170" s="387">
        <f>Дефляторы!$D$116</f>
        <v>1.042</v>
      </c>
      <c r="J170" s="388">
        <f t="shared" si="30"/>
        <v>30217</v>
      </c>
      <c r="K170" s="388">
        <f t="shared" si="31"/>
        <v>29852</v>
      </c>
      <c r="L170" s="389" t="s">
        <v>1226</v>
      </c>
      <c r="M170" s="194"/>
      <c r="N170" s="194"/>
    </row>
    <row r="171" spans="1:14" s="390" customFormat="1" ht="63.75" hidden="1" outlineLevel="3" x14ac:dyDescent="0.2">
      <c r="A171" s="191" t="s">
        <v>1105</v>
      </c>
      <c r="B171" s="132" t="s">
        <v>476</v>
      </c>
      <c r="C171" s="132" t="s">
        <v>475</v>
      </c>
      <c r="D171" s="315" t="s">
        <v>283</v>
      </c>
      <c r="E171" s="233">
        <v>1</v>
      </c>
      <c r="F171" s="233">
        <f>(138/3+1027)*(1.023*1.005-2.3%*15%)*6.99+0*4.09</f>
        <v>7685</v>
      </c>
      <c r="G171" s="387">
        <f>$G$327</f>
        <v>1.0960000000000001</v>
      </c>
      <c r="H171" s="388">
        <f t="shared" si="34"/>
        <v>8423</v>
      </c>
      <c r="I171" s="387">
        <f>Дефляторы!$D$116</f>
        <v>1.042</v>
      </c>
      <c r="J171" s="388">
        <f t="shared" si="30"/>
        <v>8777</v>
      </c>
      <c r="K171" s="388">
        <f t="shared" si="31"/>
        <v>8671</v>
      </c>
      <c r="L171" s="389" t="s">
        <v>1227</v>
      </c>
      <c r="M171" s="194"/>
      <c r="N171" s="194"/>
    </row>
    <row r="172" spans="1:14" s="390" customFormat="1" ht="63.75" hidden="1" outlineLevel="3" x14ac:dyDescent="0.2">
      <c r="A172" s="191" t="s">
        <v>1106</v>
      </c>
      <c r="B172" s="132" t="s">
        <v>478</v>
      </c>
      <c r="C172" s="132" t="s">
        <v>477</v>
      </c>
      <c r="D172" s="315" t="s">
        <v>283</v>
      </c>
      <c r="E172" s="233">
        <v>1</v>
      </c>
      <c r="F172" s="233">
        <f>(138/3+917)*(1.023*1.005-2.3%*15%)*6.99+0*4.09</f>
        <v>6897</v>
      </c>
      <c r="G172" s="387">
        <f>$G$327</f>
        <v>1.0960000000000001</v>
      </c>
      <c r="H172" s="388">
        <f t="shared" si="34"/>
        <v>7559</v>
      </c>
      <c r="I172" s="387">
        <f>Дефляторы!$D$116</f>
        <v>1.042</v>
      </c>
      <c r="J172" s="388">
        <f t="shared" si="30"/>
        <v>7876</v>
      </c>
      <c r="K172" s="388">
        <f t="shared" si="31"/>
        <v>7781</v>
      </c>
      <c r="L172" s="389" t="s">
        <v>1228</v>
      </c>
      <c r="M172" s="194"/>
      <c r="N172" s="194"/>
    </row>
    <row r="173" spans="1:14" s="196" customFormat="1" ht="15.75" hidden="1" outlineLevel="2" x14ac:dyDescent="0.2">
      <c r="A173" s="208" t="s">
        <v>1107</v>
      </c>
      <c r="B173" s="93"/>
      <c r="C173" s="93" t="s">
        <v>991</v>
      </c>
      <c r="D173" s="317" t="s">
        <v>283</v>
      </c>
      <c r="E173" s="158">
        <v>1</v>
      </c>
      <c r="F173" s="158">
        <f>SUM(F174:F224)</f>
        <v>8136996</v>
      </c>
      <c r="G173" s="298">
        <f>$G$327</f>
        <v>1.0960000000000001</v>
      </c>
      <c r="H173" s="338">
        <f>SUM(H174:H224)</f>
        <v>8918149</v>
      </c>
      <c r="I173" s="298">
        <f>Дефляторы!$D$116</f>
        <v>1.042</v>
      </c>
      <c r="J173" s="338">
        <f>SUM(J174:J224)</f>
        <v>9292710</v>
      </c>
      <c r="K173" s="338">
        <f>SUM(K174:K224)</f>
        <v>9180342</v>
      </c>
      <c r="L173" s="195"/>
      <c r="M173" s="195"/>
      <c r="N173" s="195"/>
    </row>
    <row r="174" spans="1:14" s="390" customFormat="1" ht="15.75" hidden="1" outlineLevel="3" x14ac:dyDescent="0.2">
      <c r="A174" s="191"/>
      <c r="B174" s="132"/>
      <c r="C174" s="192" t="s">
        <v>1000</v>
      </c>
      <c r="D174" s="314"/>
      <c r="E174" s="233"/>
      <c r="F174" s="233"/>
      <c r="G174" s="387"/>
      <c r="H174" s="388"/>
      <c r="I174" s="387">
        <f>Дефляторы!$D$116</f>
        <v>1.042</v>
      </c>
      <c r="J174" s="388"/>
      <c r="K174" s="388"/>
      <c r="L174" s="194"/>
      <c r="M174" s="194"/>
      <c r="N174" s="194"/>
    </row>
    <row r="175" spans="1:14" s="390" customFormat="1" ht="15.75" hidden="1" outlineLevel="3" x14ac:dyDescent="0.2">
      <c r="A175" s="191" t="s">
        <v>1108</v>
      </c>
      <c r="B175" s="132" t="s">
        <v>510</v>
      </c>
      <c r="C175" s="132" t="s">
        <v>1001</v>
      </c>
      <c r="D175" s="314" t="s">
        <v>262</v>
      </c>
      <c r="E175" s="315">
        <f>2.41</f>
        <v>2.41</v>
      </c>
      <c r="F175" s="233">
        <f>10029*(1.023*1.005-2.3%*15%)*6.99+0*4.09</f>
        <v>71832</v>
      </c>
      <c r="G175" s="387">
        <f>$G$327</f>
        <v>1.0960000000000001</v>
      </c>
      <c r="H175" s="388">
        <f t="shared" si="34"/>
        <v>78728</v>
      </c>
      <c r="I175" s="387">
        <f>Дефляторы!$D$116</f>
        <v>1.042</v>
      </c>
      <c r="J175" s="388">
        <f t="shared" ref="J175:J224" si="35">H175*I175</f>
        <v>82035</v>
      </c>
      <c r="K175" s="388">
        <f t="shared" ref="K175:K224" si="36">H175+(J175-H175)*(1-30/100)</f>
        <v>81043</v>
      </c>
      <c r="L175" s="194"/>
      <c r="M175" s="194"/>
      <c r="N175" s="194"/>
    </row>
    <row r="176" spans="1:14" s="390" customFormat="1" ht="25.5" hidden="1" outlineLevel="3" x14ac:dyDescent="0.2">
      <c r="A176" s="191" t="s">
        <v>1109</v>
      </c>
      <c r="B176" s="132" t="s">
        <v>513</v>
      </c>
      <c r="C176" s="132" t="s">
        <v>1002</v>
      </c>
      <c r="D176" s="314" t="s">
        <v>262</v>
      </c>
      <c r="E176" s="315">
        <f>9.91</f>
        <v>9.91</v>
      </c>
      <c r="F176" s="233">
        <f>17138*(1.023*1.005-2.3%*15%)*6.99+0*4.09</f>
        <v>122749</v>
      </c>
      <c r="G176" s="387">
        <f>$G$327</f>
        <v>1.0960000000000001</v>
      </c>
      <c r="H176" s="388">
        <f t="shared" si="34"/>
        <v>134533</v>
      </c>
      <c r="I176" s="387">
        <f>Дефляторы!$D$116</f>
        <v>1.042</v>
      </c>
      <c r="J176" s="388">
        <f t="shared" si="35"/>
        <v>140183</v>
      </c>
      <c r="K176" s="388">
        <f t="shared" si="36"/>
        <v>138488</v>
      </c>
      <c r="L176" s="194"/>
      <c r="M176" s="194"/>
      <c r="N176" s="194"/>
    </row>
    <row r="177" spans="1:14" s="390" customFormat="1" ht="15.75" hidden="1" outlineLevel="3" x14ac:dyDescent="0.2">
      <c r="A177" s="191" t="s">
        <v>1110</v>
      </c>
      <c r="B177" s="132" t="s">
        <v>516</v>
      </c>
      <c r="C177" s="132" t="s">
        <v>515</v>
      </c>
      <c r="D177" s="314" t="s">
        <v>271</v>
      </c>
      <c r="E177" s="233">
        <v>82</v>
      </c>
      <c r="F177" s="233">
        <f>4200*(1.023*1.005-2.3%*15%)*6.99+0*4.09</f>
        <v>30082</v>
      </c>
      <c r="G177" s="387">
        <f>$G$327</f>
        <v>1.0960000000000001</v>
      </c>
      <c r="H177" s="388">
        <f t="shared" si="34"/>
        <v>32970</v>
      </c>
      <c r="I177" s="387">
        <f>Дефляторы!$D$116</f>
        <v>1.042</v>
      </c>
      <c r="J177" s="388">
        <f t="shared" si="35"/>
        <v>34355</v>
      </c>
      <c r="K177" s="388">
        <f t="shared" si="36"/>
        <v>33940</v>
      </c>
      <c r="L177" s="194"/>
      <c r="M177" s="194"/>
      <c r="N177" s="194"/>
    </row>
    <row r="178" spans="1:14" s="390" customFormat="1" ht="15.75" hidden="1" outlineLevel="3" x14ac:dyDescent="0.2">
      <c r="A178" s="191" t="s">
        <v>1111</v>
      </c>
      <c r="B178" s="132" t="s">
        <v>518</v>
      </c>
      <c r="C178" s="132" t="s">
        <v>517</v>
      </c>
      <c r="D178" s="314" t="s">
        <v>250</v>
      </c>
      <c r="E178" s="233">
        <v>1</v>
      </c>
      <c r="F178" s="233">
        <f>36879*(1.023*1.005-2.3%*15%)*6.99+0*4.09</f>
        <v>264142</v>
      </c>
      <c r="G178" s="387">
        <f>$G$327</f>
        <v>1.0960000000000001</v>
      </c>
      <c r="H178" s="388">
        <f t="shared" si="34"/>
        <v>289500</v>
      </c>
      <c r="I178" s="387">
        <f>Дефляторы!$D$116</f>
        <v>1.042</v>
      </c>
      <c r="J178" s="388">
        <f t="shared" si="35"/>
        <v>301659</v>
      </c>
      <c r="K178" s="388">
        <f t="shared" si="36"/>
        <v>298011</v>
      </c>
      <c r="L178" s="194" t="s">
        <v>519</v>
      </c>
      <c r="M178" s="194"/>
      <c r="N178" s="194"/>
    </row>
    <row r="179" spans="1:14" s="390" customFormat="1" ht="15.75" hidden="1" outlineLevel="3" x14ac:dyDescent="0.2">
      <c r="A179" s="191"/>
      <c r="B179" s="132"/>
      <c r="C179" s="192" t="s">
        <v>993</v>
      </c>
      <c r="D179" s="314"/>
      <c r="E179" s="233"/>
      <c r="F179" s="233"/>
      <c r="G179" s="387"/>
      <c r="H179" s="388"/>
      <c r="I179" s="387">
        <f>Дефляторы!$D$116</f>
        <v>1.042</v>
      </c>
      <c r="J179" s="388">
        <f t="shared" si="35"/>
        <v>0</v>
      </c>
      <c r="K179" s="388">
        <f t="shared" si="36"/>
        <v>0</v>
      </c>
      <c r="L179" s="194"/>
      <c r="M179" s="194"/>
      <c r="N179" s="194"/>
    </row>
    <row r="180" spans="1:14" s="390" customFormat="1" ht="102" hidden="1" outlineLevel="3" x14ac:dyDescent="0.2">
      <c r="A180" s="191" t="s">
        <v>1112</v>
      </c>
      <c r="B180" s="132" t="s">
        <v>522</v>
      </c>
      <c r="C180" s="132" t="s">
        <v>520</v>
      </c>
      <c r="D180" s="314" t="s">
        <v>305</v>
      </c>
      <c r="E180" s="233">
        <v>1</v>
      </c>
      <c r="F180" s="233">
        <f>2.4*6*2.7/79.9*1788*(1.023*1.005-2.3%*15%)*6.99+257810*4.09-3</f>
        <v>1060672</v>
      </c>
      <c r="G180" s="387">
        <f t="shared" ref="G180:G201" si="37">$G$327</f>
        <v>1.0960000000000001</v>
      </c>
      <c r="H180" s="388">
        <f t="shared" si="34"/>
        <v>1162497</v>
      </c>
      <c r="I180" s="387">
        <f>Дефляторы!$D$116</f>
        <v>1.042</v>
      </c>
      <c r="J180" s="388">
        <f t="shared" si="35"/>
        <v>1211322</v>
      </c>
      <c r="K180" s="388">
        <f t="shared" si="36"/>
        <v>1196675</v>
      </c>
      <c r="L180" s="389" t="s">
        <v>869</v>
      </c>
      <c r="M180" s="400"/>
      <c r="N180" s="194"/>
    </row>
    <row r="181" spans="1:14" s="390" customFormat="1" ht="102" hidden="1" outlineLevel="3" x14ac:dyDescent="0.2">
      <c r="A181" s="191" t="s">
        <v>1113</v>
      </c>
      <c r="B181" s="132" t="s">
        <v>524</v>
      </c>
      <c r="C181" s="132" t="s">
        <v>523</v>
      </c>
      <c r="D181" s="314" t="s">
        <v>283</v>
      </c>
      <c r="E181" s="233">
        <v>1</v>
      </c>
      <c r="F181" s="233">
        <f>2.5*4.5*2.7/79.9*1788*(1.023*1.005-2.3%*15%)*6.99+233652*4.09-3</f>
        <v>960502</v>
      </c>
      <c r="G181" s="387">
        <f t="shared" si="37"/>
        <v>1.0960000000000001</v>
      </c>
      <c r="H181" s="388">
        <f t="shared" si="34"/>
        <v>1052710</v>
      </c>
      <c r="I181" s="387">
        <f>Дефляторы!$D$116</f>
        <v>1.042</v>
      </c>
      <c r="J181" s="388">
        <f t="shared" si="35"/>
        <v>1096924</v>
      </c>
      <c r="K181" s="388">
        <f t="shared" si="36"/>
        <v>1083660</v>
      </c>
      <c r="L181" s="389" t="s">
        <v>870</v>
      </c>
      <c r="M181" s="194"/>
      <c r="N181" s="194"/>
    </row>
    <row r="182" spans="1:14" s="390" customFormat="1" ht="102" hidden="1" outlineLevel="3" x14ac:dyDescent="0.2">
      <c r="A182" s="191" t="s">
        <v>1114</v>
      </c>
      <c r="B182" s="132" t="s">
        <v>526</v>
      </c>
      <c r="C182" s="132" t="s">
        <v>525</v>
      </c>
      <c r="D182" s="314" t="s">
        <v>283</v>
      </c>
      <c r="E182" s="233">
        <v>1</v>
      </c>
      <c r="F182" s="233">
        <f>1.2*3.3*2.7/79.9*1788*(1.023*1.005-2.3%*15%)*6.99+184698*4.09-2</f>
        <v>757127</v>
      </c>
      <c r="G182" s="387">
        <f t="shared" si="37"/>
        <v>1.0960000000000001</v>
      </c>
      <c r="H182" s="388">
        <f t="shared" si="34"/>
        <v>829811</v>
      </c>
      <c r="I182" s="387">
        <f>Дефляторы!$D$116</f>
        <v>1.042</v>
      </c>
      <c r="J182" s="388">
        <f t="shared" si="35"/>
        <v>864663</v>
      </c>
      <c r="K182" s="388">
        <f t="shared" si="36"/>
        <v>854207</v>
      </c>
      <c r="L182" s="389" t="s">
        <v>871</v>
      </c>
      <c r="M182" s="194"/>
      <c r="N182" s="194"/>
    </row>
    <row r="183" spans="1:14" s="390" customFormat="1" ht="25.5" hidden="1" outlineLevel="3" x14ac:dyDescent="0.2">
      <c r="A183" s="191" t="s">
        <v>1115</v>
      </c>
      <c r="B183" s="132" t="s">
        <v>527</v>
      </c>
      <c r="C183" s="132" t="s">
        <v>528</v>
      </c>
      <c r="D183" s="314" t="s">
        <v>271</v>
      </c>
      <c r="E183" s="233">
        <v>200</v>
      </c>
      <c r="F183" s="233">
        <f>(75852-4881-9346)*(1.023*1.005-2.3%*15%)*6.99+0*4.09+17</f>
        <v>441400</v>
      </c>
      <c r="G183" s="387">
        <f t="shared" si="37"/>
        <v>1.0960000000000001</v>
      </c>
      <c r="H183" s="388">
        <f t="shared" si="34"/>
        <v>483774</v>
      </c>
      <c r="I183" s="387">
        <f>Дефляторы!$D$116</f>
        <v>1.042</v>
      </c>
      <c r="J183" s="388">
        <f t="shared" si="35"/>
        <v>504093</v>
      </c>
      <c r="K183" s="388">
        <f t="shared" si="36"/>
        <v>497997</v>
      </c>
      <c r="L183" s="194"/>
      <c r="M183" s="194"/>
      <c r="N183" s="194"/>
    </row>
    <row r="184" spans="1:14" s="390" customFormat="1" ht="63.75" hidden="1" outlineLevel="3" x14ac:dyDescent="0.2">
      <c r="A184" s="191" t="s">
        <v>1116</v>
      </c>
      <c r="B184" s="132" t="s">
        <v>530</v>
      </c>
      <c r="C184" s="132" t="s">
        <v>529</v>
      </c>
      <c r="D184" s="314" t="s">
        <v>363</v>
      </c>
      <c r="E184" s="278">
        <f>49.8</f>
        <v>49.8</v>
      </c>
      <c r="F184" s="233">
        <f>(4881+9346)*(1.023*1.005-2.3%*15%)*6.99+0*4.09</f>
        <v>101900</v>
      </c>
      <c r="G184" s="387">
        <f t="shared" si="37"/>
        <v>1.0960000000000001</v>
      </c>
      <c r="H184" s="388">
        <f t="shared" si="34"/>
        <v>111682</v>
      </c>
      <c r="I184" s="387">
        <f>Дефляторы!$D$116</f>
        <v>1.042</v>
      </c>
      <c r="J184" s="388">
        <f t="shared" si="35"/>
        <v>116373</v>
      </c>
      <c r="K184" s="388">
        <f t="shared" si="36"/>
        <v>114966</v>
      </c>
      <c r="L184" s="389" t="s">
        <v>790</v>
      </c>
      <c r="M184" s="194"/>
      <c r="N184" s="194"/>
    </row>
    <row r="185" spans="1:14" s="390" customFormat="1" ht="15.75" hidden="1" outlineLevel="3" x14ac:dyDescent="0.2">
      <c r="A185" s="191" t="s">
        <v>1117</v>
      </c>
      <c r="B185" s="132" t="s">
        <v>532</v>
      </c>
      <c r="C185" s="132" t="s">
        <v>531</v>
      </c>
      <c r="D185" s="314" t="s">
        <v>271</v>
      </c>
      <c r="E185" s="233">
        <v>75</v>
      </c>
      <c r="F185" s="233">
        <f>(22299+411)*(1.023*1.005-2.3%*15%)*6.99+0*4.09</f>
        <v>162658</v>
      </c>
      <c r="G185" s="387">
        <f t="shared" si="37"/>
        <v>1.0960000000000001</v>
      </c>
      <c r="H185" s="388">
        <f t="shared" si="34"/>
        <v>178273</v>
      </c>
      <c r="I185" s="387">
        <f>Дефляторы!$D$116</f>
        <v>1.042</v>
      </c>
      <c r="J185" s="388">
        <f t="shared" si="35"/>
        <v>185760</v>
      </c>
      <c r="K185" s="388">
        <f t="shared" si="36"/>
        <v>183514</v>
      </c>
      <c r="L185" s="194"/>
      <c r="M185" s="194"/>
      <c r="N185" s="194"/>
    </row>
    <row r="186" spans="1:14" s="390" customFormat="1" ht="25.5" hidden="1" outlineLevel="3" x14ac:dyDescent="0.2">
      <c r="A186" s="191" t="s">
        <v>1118</v>
      </c>
      <c r="B186" s="132" t="s">
        <v>533</v>
      </c>
      <c r="C186" s="132" t="s">
        <v>534</v>
      </c>
      <c r="D186" s="314" t="s">
        <v>271</v>
      </c>
      <c r="E186" s="278">
        <f>29.3</f>
        <v>29.3</v>
      </c>
      <c r="F186" s="233">
        <f>(25395+106207+562)*(1.023*1.005-2.3%*15%)*6.99+0*4.09</f>
        <v>946613</v>
      </c>
      <c r="G186" s="387">
        <f t="shared" si="37"/>
        <v>1.0960000000000001</v>
      </c>
      <c r="H186" s="388">
        <f t="shared" si="34"/>
        <v>1037488</v>
      </c>
      <c r="I186" s="387">
        <f>Дефляторы!$D$116</f>
        <v>1.042</v>
      </c>
      <c r="J186" s="388">
        <f t="shared" si="35"/>
        <v>1081062</v>
      </c>
      <c r="K186" s="388">
        <f t="shared" si="36"/>
        <v>1067990</v>
      </c>
      <c r="L186" s="389" t="s">
        <v>535</v>
      </c>
      <c r="M186" s="194"/>
      <c r="N186" s="194"/>
    </row>
    <row r="187" spans="1:14" s="390" customFormat="1" ht="25.5" hidden="1" outlineLevel="3" x14ac:dyDescent="0.2">
      <c r="A187" s="191" t="s">
        <v>1119</v>
      </c>
      <c r="B187" s="132" t="s">
        <v>537</v>
      </c>
      <c r="C187" s="132" t="s">
        <v>536</v>
      </c>
      <c r="D187" s="314" t="s">
        <v>271</v>
      </c>
      <c r="E187" s="233">
        <f>28</f>
        <v>28</v>
      </c>
      <c r="F187" s="233">
        <f>(24268+101495+537)*(1.023*1.005-2.3%*15%)*6.99+0*4.09</f>
        <v>904612</v>
      </c>
      <c r="G187" s="387">
        <f t="shared" si="37"/>
        <v>1.0960000000000001</v>
      </c>
      <c r="H187" s="388">
        <f t="shared" si="34"/>
        <v>991455</v>
      </c>
      <c r="I187" s="387">
        <f>Дефляторы!$D$116</f>
        <v>1.042</v>
      </c>
      <c r="J187" s="388">
        <f t="shared" si="35"/>
        <v>1033096</v>
      </c>
      <c r="K187" s="388">
        <f t="shared" si="36"/>
        <v>1020604</v>
      </c>
      <c r="L187" s="389" t="s">
        <v>535</v>
      </c>
      <c r="M187" s="194"/>
      <c r="N187" s="194"/>
    </row>
    <row r="188" spans="1:14" s="390" customFormat="1" ht="15.75" hidden="1" outlineLevel="3" x14ac:dyDescent="0.2">
      <c r="A188" s="191" t="s">
        <v>1120</v>
      </c>
      <c r="B188" s="132" t="s">
        <v>539</v>
      </c>
      <c r="C188" s="132" t="s">
        <v>538</v>
      </c>
      <c r="D188" s="314" t="s">
        <v>250</v>
      </c>
      <c r="E188" s="233">
        <v>1</v>
      </c>
      <c r="F188" s="233">
        <f>(20105)*(1.023*1.005-2.3%*15%)*6.99+0*4.09</f>
        <v>144000</v>
      </c>
      <c r="G188" s="387">
        <f t="shared" si="37"/>
        <v>1.0960000000000001</v>
      </c>
      <c r="H188" s="388">
        <f t="shared" si="34"/>
        <v>157824</v>
      </c>
      <c r="I188" s="387">
        <f>Дефляторы!$D$116</f>
        <v>1.042</v>
      </c>
      <c r="J188" s="388">
        <f t="shared" si="35"/>
        <v>164453</v>
      </c>
      <c r="K188" s="388">
        <f t="shared" si="36"/>
        <v>162464</v>
      </c>
      <c r="L188" s="194"/>
      <c r="M188" s="194"/>
      <c r="N188" s="194"/>
    </row>
    <row r="189" spans="1:14" s="390" customFormat="1" ht="51" hidden="1" outlineLevel="3" x14ac:dyDescent="0.2">
      <c r="A189" s="191" t="s">
        <v>1121</v>
      </c>
      <c r="B189" s="132" t="s">
        <v>540</v>
      </c>
      <c r="C189" s="132" t="s">
        <v>444</v>
      </c>
      <c r="D189" s="314" t="s">
        <v>363</v>
      </c>
      <c r="E189" s="278">
        <f>15.4</f>
        <v>15.4</v>
      </c>
      <c r="F189" s="233">
        <f>(7389)*(1.023*1.005-2.3%*15%)*6.99+0*4.09</f>
        <v>52923</v>
      </c>
      <c r="G189" s="387">
        <f t="shared" si="37"/>
        <v>1.0960000000000001</v>
      </c>
      <c r="H189" s="388">
        <f t="shared" si="34"/>
        <v>58004</v>
      </c>
      <c r="I189" s="387">
        <f>Дефляторы!$D$116</f>
        <v>1.042</v>
      </c>
      <c r="J189" s="388">
        <f t="shared" si="35"/>
        <v>60440</v>
      </c>
      <c r="K189" s="388">
        <f t="shared" si="36"/>
        <v>59709</v>
      </c>
      <c r="L189" s="389" t="s">
        <v>872</v>
      </c>
      <c r="M189" s="194"/>
      <c r="N189" s="194"/>
    </row>
    <row r="190" spans="1:14" s="390" customFormat="1" ht="15.75" hidden="1" outlineLevel="3" x14ac:dyDescent="0.2">
      <c r="A190" s="191" t="s">
        <v>1122</v>
      </c>
      <c r="B190" s="132" t="s">
        <v>542</v>
      </c>
      <c r="C190" s="132" t="s">
        <v>541</v>
      </c>
      <c r="D190" s="314" t="s">
        <v>283</v>
      </c>
      <c r="E190" s="233">
        <v>1</v>
      </c>
      <c r="F190" s="233">
        <f>(341+10189)*(1.023*1.005-2.3%*15%)*6.99+0*4.09</f>
        <v>75420</v>
      </c>
      <c r="G190" s="387">
        <f t="shared" si="37"/>
        <v>1.0960000000000001</v>
      </c>
      <c r="H190" s="388">
        <f t="shared" si="34"/>
        <v>82660</v>
      </c>
      <c r="I190" s="387">
        <f>Дефляторы!$D$116</f>
        <v>1.042</v>
      </c>
      <c r="J190" s="388">
        <f t="shared" si="35"/>
        <v>86132</v>
      </c>
      <c r="K190" s="388">
        <f t="shared" si="36"/>
        <v>85090</v>
      </c>
      <c r="L190" s="194"/>
      <c r="M190" s="194"/>
      <c r="N190" s="194"/>
    </row>
    <row r="191" spans="1:14" s="390" customFormat="1" ht="15.75" hidden="1" outlineLevel="3" x14ac:dyDescent="0.2">
      <c r="A191" s="191" t="s">
        <v>1123</v>
      </c>
      <c r="B191" s="132" t="s">
        <v>544</v>
      </c>
      <c r="C191" s="132" t="s">
        <v>543</v>
      </c>
      <c r="D191" s="314" t="s">
        <v>283</v>
      </c>
      <c r="E191" s="233">
        <v>2</v>
      </c>
      <c r="F191" s="233">
        <f>(342+8151)*(1.023*1.005-2.3%*15%)*6.99+0*4.09</f>
        <v>60830</v>
      </c>
      <c r="G191" s="387">
        <f t="shared" si="37"/>
        <v>1.0960000000000001</v>
      </c>
      <c r="H191" s="388">
        <f t="shared" si="34"/>
        <v>66670</v>
      </c>
      <c r="I191" s="387">
        <f>Дефляторы!$D$116</f>
        <v>1.042</v>
      </c>
      <c r="J191" s="388">
        <f t="shared" si="35"/>
        <v>69470</v>
      </c>
      <c r="K191" s="388">
        <f t="shared" si="36"/>
        <v>68630</v>
      </c>
      <c r="L191" s="194"/>
      <c r="M191" s="194"/>
      <c r="N191" s="194"/>
    </row>
    <row r="192" spans="1:14" s="390" customFormat="1" ht="15.75" hidden="1" outlineLevel="3" x14ac:dyDescent="0.2">
      <c r="A192" s="191" t="s">
        <v>1124</v>
      </c>
      <c r="B192" s="132" t="s">
        <v>545</v>
      </c>
      <c r="C192" s="132" t="s">
        <v>450</v>
      </c>
      <c r="D192" s="314" t="s">
        <v>363</v>
      </c>
      <c r="E192" s="278">
        <f>3.9</f>
        <v>3.9</v>
      </c>
      <c r="F192" s="233">
        <f>(158+142)*(1.023*1.005-2.3%*15%)*6.99+0*4.09</f>
        <v>2149</v>
      </c>
      <c r="G192" s="387">
        <f t="shared" si="37"/>
        <v>1.0960000000000001</v>
      </c>
      <c r="H192" s="388">
        <f t="shared" si="34"/>
        <v>2355</v>
      </c>
      <c r="I192" s="387">
        <f>Дефляторы!$D$116</f>
        <v>1.042</v>
      </c>
      <c r="J192" s="388">
        <f t="shared" si="35"/>
        <v>2454</v>
      </c>
      <c r="K192" s="388">
        <f t="shared" si="36"/>
        <v>2424</v>
      </c>
      <c r="L192" s="194"/>
      <c r="M192" s="194"/>
      <c r="N192" s="194"/>
    </row>
    <row r="193" spans="1:14" s="390" customFormat="1" ht="38.25" hidden="1" outlineLevel="3" x14ac:dyDescent="0.2">
      <c r="A193" s="191" t="s">
        <v>1125</v>
      </c>
      <c r="B193" s="132" t="s">
        <v>547</v>
      </c>
      <c r="C193" s="132" t="s">
        <v>546</v>
      </c>
      <c r="D193" s="314" t="s">
        <v>283</v>
      </c>
      <c r="E193" s="233">
        <v>2</v>
      </c>
      <c r="F193" s="233">
        <f>(633+7556+189+185+99+742)*(1.023*1.005-2.3%*15%)*6.99+0*4.09</f>
        <v>67355</v>
      </c>
      <c r="G193" s="387">
        <f t="shared" si="37"/>
        <v>1.0960000000000001</v>
      </c>
      <c r="H193" s="388">
        <f t="shared" si="34"/>
        <v>73821</v>
      </c>
      <c r="I193" s="387">
        <f>Дефляторы!$D$116</f>
        <v>1.042</v>
      </c>
      <c r="J193" s="388">
        <f t="shared" si="35"/>
        <v>76921</v>
      </c>
      <c r="K193" s="388">
        <f t="shared" si="36"/>
        <v>75991</v>
      </c>
      <c r="L193" s="194"/>
      <c r="M193" s="194"/>
      <c r="N193" s="194"/>
    </row>
    <row r="194" spans="1:14" s="390" customFormat="1" ht="20.25" hidden="1" customHeight="1" outlineLevel="3" x14ac:dyDescent="0.2">
      <c r="A194" s="191" t="s">
        <v>1126</v>
      </c>
      <c r="B194" s="132" t="s">
        <v>548</v>
      </c>
      <c r="C194" s="132" t="s">
        <v>550</v>
      </c>
      <c r="D194" s="314" t="s">
        <v>283</v>
      </c>
      <c r="E194" s="233">
        <v>1</v>
      </c>
      <c r="F194" s="233">
        <f>2.1/3.78*(775+5042)*(1.023*1.005-2.3%*15%)*6.99+0*4.09</f>
        <v>23147</v>
      </c>
      <c r="G194" s="387">
        <f t="shared" si="37"/>
        <v>1.0960000000000001</v>
      </c>
      <c r="H194" s="388">
        <f t="shared" si="34"/>
        <v>25369</v>
      </c>
      <c r="I194" s="387">
        <f>Дефляторы!$D$116</f>
        <v>1.042</v>
      </c>
      <c r="J194" s="388">
        <f t="shared" si="35"/>
        <v>26434</v>
      </c>
      <c r="K194" s="388">
        <f t="shared" si="36"/>
        <v>26115</v>
      </c>
      <c r="L194" s="617" t="s">
        <v>1331</v>
      </c>
      <c r="M194" s="233"/>
      <c r="N194" s="194"/>
    </row>
    <row r="195" spans="1:14" s="390" customFormat="1" ht="25.5" hidden="1" customHeight="1" outlineLevel="3" x14ac:dyDescent="0.2">
      <c r="A195" s="191" t="s">
        <v>1127</v>
      </c>
      <c r="B195" s="132" t="s">
        <v>548</v>
      </c>
      <c r="C195" s="132" t="s">
        <v>549</v>
      </c>
      <c r="D195" s="314" t="s">
        <v>283</v>
      </c>
      <c r="E195" s="233">
        <v>1</v>
      </c>
      <c r="F195" s="233">
        <f>0.8*2.1/3.78*(775+5042)*(1.023*1.005-2.3%*15%)*6.99+0*4.09</f>
        <v>18517</v>
      </c>
      <c r="G195" s="387">
        <f t="shared" si="37"/>
        <v>1.0960000000000001</v>
      </c>
      <c r="H195" s="388">
        <f t="shared" si="34"/>
        <v>20295</v>
      </c>
      <c r="I195" s="387">
        <f>Дефляторы!$D$116</f>
        <v>1.042</v>
      </c>
      <c r="J195" s="388">
        <f t="shared" si="35"/>
        <v>21147</v>
      </c>
      <c r="K195" s="388">
        <f t="shared" si="36"/>
        <v>20891</v>
      </c>
      <c r="L195" s="618"/>
      <c r="M195" s="233"/>
      <c r="N195" s="194"/>
    </row>
    <row r="196" spans="1:14" s="390" customFormat="1" ht="25.5" hidden="1" outlineLevel="3" x14ac:dyDescent="0.2">
      <c r="A196" s="191" t="s">
        <v>1128</v>
      </c>
      <c r="B196" s="132" t="s">
        <v>552</v>
      </c>
      <c r="C196" s="132" t="s">
        <v>551</v>
      </c>
      <c r="D196" s="314" t="s">
        <v>283</v>
      </c>
      <c r="E196" s="233">
        <v>1</v>
      </c>
      <c r="F196" s="233">
        <f>(147+113+2+4097)*(1.023*1.005-2.3%*15%)*6.99+0*4.09</f>
        <v>31221</v>
      </c>
      <c r="G196" s="387">
        <f t="shared" si="37"/>
        <v>1.0960000000000001</v>
      </c>
      <c r="H196" s="388">
        <f t="shared" si="34"/>
        <v>34218</v>
      </c>
      <c r="I196" s="387">
        <f>Дефляторы!$D$116</f>
        <v>1.042</v>
      </c>
      <c r="J196" s="388">
        <f t="shared" si="35"/>
        <v>35655</v>
      </c>
      <c r="K196" s="388">
        <f t="shared" si="36"/>
        <v>35224</v>
      </c>
      <c r="L196" s="194"/>
      <c r="M196" s="194"/>
      <c r="N196" s="194"/>
    </row>
    <row r="197" spans="1:14" s="390" customFormat="1" ht="38.25" hidden="1" outlineLevel="3" x14ac:dyDescent="0.2">
      <c r="A197" s="191" t="s">
        <v>1129</v>
      </c>
      <c r="B197" s="132" t="s">
        <v>553</v>
      </c>
      <c r="C197" s="132" t="s">
        <v>554</v>
      </c>
      <c r="D197" s="314" t="s">
        <v>283</v>
      </c>
      <c r="E197" s="233">
        <v>1</v>
      </c>
      <c r="F197" s="233">
        <f>(3036+8948)*(1.023*1.005-2.3%*15%)*6.99+0*4.09</f>
        <v>85834</v>
      </c>
      <c r="G197" s="387">
        <f t="shared" si="37"/>
        <v>1.0960000000000001</v>
      </c>
      <c r="H197" s="388">
        <f t="shared" si="34"/>
        <v>94074</v>
      </c>
      <c r="I197" s="387">
        <f>Дефляторы!$D$116</f>
        <v>1.042</v>
      </c>
      <c r="J197" s="388">
        <f t="shared" si="35"/>
        <v>98025</v>
      </c>
      <c r="K197" s="388">
        <f t="shared" si="36"/>
        <v>96840</v>
      </c>
      <c r="L197" s="389" t="s">
        <v>555</v>
      </c>
      <c r="M197" s="194"/>
      <c r="N197" s="194"/>
    </row>
    <row r="198" spans="1:14" s="390" customFormat="1" ht="38.25" hidden="1" outlineLevel="3" x14ac:dyDescent="0.2">
      <c r="A198" s="191" t="s">
        <v>1130</v>
      </c>
      <c r="B198" s="132" t="s">
        <v>560</v>
      </c>
      <c r="C198" s="132" t="s">
        <v>556</v>
      </c>
      <c r="D198" s="314" t="s">
        <v>271</v>
      </c>
      <c r="E198" s="315">
        <f>34.51</f>
        <v>34.51</v>
      </c>
      <c r="F198" s="233">
        <f>(443+6441+474+484+526+299+52+299+81+828)*(1.023*1.005-2.3%*15%)*6.99+0*4.09</f>
        <v>71101</v>
      </c>
      <c r="G198" s="387">
        <f t="shared" si="37"/>
        <v>1.0960000000000001</v>
      </c>
      <c r="H198" s="388">
        <f t="shared" si="34"/>
        <v>77927</v>
      </c>
      <c r="I198" s="387">
        <f>Дефляторы!$D$116</f>
        <v>1.042</v>
      </c>
      <c r="J198" s="388">
        <f t="shared" si="35"/>
        <v>81200</v>
      </c>
      <c r="K198" s="388">
        <f t="shared" si="36"/>
        <v>80218</v>
      </c>
      <c r="L198" s="194"/>
      <c r="M198" s="194"/>
      <c r="N198" s="194"/>
    </row>
    <row r="199" spans="1:14" s="390" customFormat="1" ht="25.5" hidden="1" outlineLevel="3" x14ac:dyDescent="0.2">
      <c r="A199" s="191" t="s">
        <v>1131</v>
      </c>
      <c r="B199" s="132" t="s">
        <v>561</v>
      </c>
      <c r="C199" s="132" t="s">
        <v>558</v>
      </c>
      <c r="D199" s="314" t="s">
        <v>271</v>
      </c>
      <c r="E199" s="315">
        <f>20.09</f>
        <v>20.09</v>
      </c>
      <c r="F199" s="233">
        <f>(336+3479+740+92+534+2+2+13+2+2+14+37)*(1.023*1.005-2.3%*15%)*6.99+0*4.09</f>
        <v>37624</v>
      </c>
      <c r="G199" s="387">
        <f t="shared" si="37"/>
        <v>1.0960000000000001</v>
      </c>
      <c r="H199" s="388">
        <f t="shared" si="34"/>
        <v>41236</v>
      </c>
      <c r="I199" s="387">
        <f>Дефляторы!$D$116</f>
        <v>1.042</v>
      </c>
      <c r="J199" s="388">
        <f t="shared" si="35"/>
        <v>42968</v>
      </c>
      <c r="K199" s="388">
        <f t="shared" si="36"/>
        <v>42448</v>
      </c>
      <c r="L199" s="194"/>
      <c r="M199" s="194"/>
      <c r="N199" s="194"/>
    </row>
    <row r="200" spans="1:14" s="390" customFormat="1" ht="25.5" hidden="1" outlineLevel="3" x14ac:dyDescent="0.2">
      <c r="A200" s="191" t="s">
        <v>1132</v>
      </c>
      <c r="B200" s="132" t="s">
        <v>562</v>
      </c>
      <c r="C200" s="132" t="s">
        <v>557</v>
      </c>
      <c r="D200" s="314" t="s">
        <v>271</v>
      </c>
      <c r="E200" s="315">
        <f>8.61</f>
        <v>8.61</v>
      </c>
      <c r="F200" s="233">
        <f>(1112+105+9+844+14+37)*(1.023*1.005-2.3%*15%)*6.99+0*4.09</f>
        <v>15191</v>
      </c>
      <c r="G200" s="387">
        <f t="shared" si="37"/>
        <v>1.0960000000000001</v>
      </c>
      <c r="H200" s="388">
        <f t="shared" si="34"/>
        <v>16649</v>
      </c>
      <c r="I200" s="387">
        <f>Дефляторы!$D$116</f>
        <v>1.042</v>
      </c>
      <c r="J200" s="388">
        <f t="shared" si="35"/>
        <v>17348</v>
      </c>
      <c r="K200" s="388">
        <f t="shared" si="36"/>
        <v>17138</v>
      </c>
      <c r="L200" s="194"/>
      <c r="M200" s="194"/>
      <c r="N200" s="194"/>
    </row>
    <row r="201" spans="1:14" s="390" customFormat="1" ht="38.25" hidden="1" outlineLevel="3" x14ac:dyDescent="0.2">
      <c r="A201" s="191" t="s">
        <v>1133</v>
      </c>
      <c r="B201" s="132" t="s">
        <v>563</v>
      </c>
      <c r="C201" s="132" t="s">
        <v>559</v>
      </c>
      <c r="D201" s="314" t="s">
        <v>271</v>
      </c>
      <c r="E201" s="315">
        <f>5.81</f>
        <v>5.81</v>
      </c>
      <c r="F201" s="233">
        <f>(750+48+4+386+6+13)*(1.023*1.005-2.3%*15%)*6.99+0*4.09</f>
        <v>8645</v>
      </c>
      <c r="G201" s="387">
        <f t="shared" si="37"/>
        <v>1.0960000000000001</v>
      </c>
      <c r="H201" s="388">
        <f t="shared" si="34"/>
        <v>9475</v>
      </c>
      <c r="I201" s="387">
        <f>Дефляторы!$D$116</f>
        <v>1.042</v>
      </c>
      <c r="J201" s="388">
        <f t="shared" si="35"/>
        <v>9873</v>
      </c>
      <c r="K201" s="388">
        <f t="shared" si="36"/>
        <v>9754</v>
      </c>
      <c r="L201" s="194"/>
      <c r="M201" s="194"/>
      <c r="N201" s="194"/>
    </row>
    <row r="202" spans="1:14" s="390" customFormat="1" ht="15.75" hidden="1" outlineLevel="3" x14ac:dyDescent="0.2">
      <c r="A202" s="191"/>
      <c r="B202" s="132"/>
      <c r="C202" s="192" t="s">
        <v>564</v>
      </c>
      <c r="D202" s="314"/>
      <c r="E202" s="233"/>
      <c r="F202" s="233"/>
      <c r="G202" s="387"/>
      <c r="H202" s="388"/>
      <c r="I202" s="387">
        <f>Дефляторы!$D$116</f>
        <v>1.042</v>
      </c>
      <c r="J202" s="388">
        <f t="shared" si="35"/>
        <v>0</v>
      </c>
      <c r="K202" s="388">
        <f t="shared" si="36"/>
        <v>0</v>
      </c>
      <c r="L202" s="194"/>
      <c r="M202" s="194"/>
      <c r="N202" s="194"/>
    </row>
    <row r="203" spans="1:14" s="390" customFormat="1" ht="15.75" hidden="1" outlineLevel="3" x14ac:dyDescent="0.2">
      <c r="A203" s="191" t="s">
        <v>1134</v>
      </c>
      <c r="B203" s="132" t="s">
        <v>566</v>
      </c>
      <c r="C203" s="132" t="s">
        <v>565</v>
      </c>
      <c r="D203" s="314" t="s">
        <v>271</v>
      </c>
      <c r="E203" s="315">
        <f>5.81</f>
        <v>5.81</v>
      </c>
      <c r="F203" s="233">
        <f>(293+197+3+78+141+14)*(1.023*1.005-2.3%*15%)*6.99+0*4.09</f>
        <v>5200</v>
      </c>
      <c r="G203" s="387">
        <f>$G$327</f>
        <v>1.0960000000000001</v>
      </c>
      <c r="H203" s="388">
        <f t="shared" si="34"/>
        <v>5699</v>
      </c>
      <c r="I203" s="387">
        <f>Дефляторы!$D$116</f>
        <v>1.042</v>
      </c>
      <c r="J203" s="388">
        <f t="shared" si="35"/>
        <v>5938</v>
      </c>
      <c r="K203" s="388">
        <f t="shared" si="36"/>
        <v>5866</v>
      </c>
      <c r="L203" s="194"/>
      <c r="M203" s="194"/>
      <c r="N203" s="194"/>
    </row>
    <row r="204" spans="1:14" s="390" customFormat="1" ht="15.75" hidden="1" outlineLevel="3" x14ac:dyDescent="0.2">
      <c r="A204" s="191"/>
      <c r="B204" s="132"/>
      <c r="C204" s="192" t="s">
        <v>568</v>
      </c>
      <c r="D204" s="314"/>
      <c r="E204" s="315"/>
      <c r="F204" s="315"/>
      <c r="G204" s="387"/>
      <c r="H204" s="388"/>
      <c r="I204" s="387">
        <f>Дефляторы!$D$116</f>
        <v>1.042</v>
      </c>
      <c r="J204" s="388">
        <f t="shared" si="35"/>
        <v>0</v>
      </c>
      <c r="K204" s="388">
        <f t="shared" si="36"/>
        <v>0</v>
      </c>
      <c r="L204" s="194"/>
      <c r="M204" s="194"/>
      <c r="N204" s="194"/>
    </row>
    <row r="205" spans="1:14" s="390" customFormat="1" ht="15.75" hidden="1" outlineLevel="3" x14ac:dyDescent="0.2">
      <c r="A205" s="191" t="s">
        <v>1135</v>
      </c>
      <c r="B205" s="132" t="s">
        <v>570</v>
      </c>
      <c r="C205" s="132" t="s">
        <v>567</v>
      </c>
      <c r="D205" s="314" t="s">
        <v>283</v>
      </c>
      <c r="E205" s="233">
        <v>1</v>
      </c>
      <c r="F205" s="233">
        <f>(47+1248)*(1.023*1.005-2.3%*15%)*6.99+0*4.09</f>
        <v>9275</v>
      </c>
      <c r="G205" s="387">
        <f>$G$327</f>
        <v>1.0960000000000001</v>
      </c>
      <c r="H205" s="388">
        <f t="shared" si="34"/>
        <v>10165</v>
      </c>
      <c r="I205" s="387">
        <f>Дефляторы!$D$116</f>
        <v>1.042</v>
      </c>
      <c r="J205" s="388">
        <f t="shared" si="35"/>
        <v>10592</v>
      </c>
      <c r="K205" s="388">
        <f t="shared" si="36"/>
        <v>10464</v>
      </c>
      <c r="L205" s="194"/>
      <c r="M205" s="194"/>
      <c r="N205" s="194"/>
    </row>
    <row r="206" spans="1:14" s="390" customFormat="1" ht="38.25" hidden="1" outlineLevel="3" x14ac:dyDescent="0.2">
      <c r="A206" s="191" t="s">
        <v>1136</v>
      </c>
      <c r="B206" s="132" t="s">
        <v>571</v>
      </c>
      <c r="C206" s="132" t="s">
        <v>569</v>
      </c>
      <c r="D206" s="314" t="s">
        <v>283</v>
      </c>
      <c r="E206" s="233">
        <v>1</v>
      </c>
      <c r="F206" s="233">
        <f>(48+3+4+276)*(1.023*1.005-2.3%*15%)*6.99+0*4.09</f>
        <v>2371</v>
      </c>
      <c r="G206" s="387">
        <f>$G$327</f>
        <v>1.0960000000000001</v>
      </c>
      <c r="H206" s="388">
        <f t="shared" si="34"/>
        <v>2599</v>
      </c>
      <c r="I206" s="387">
        <f>Дефляторы!$D$116</f>
        <v>1.042</v>
      </c>
      <c r="J206" s="388">
        <f t="shared" si="35"/>
        <v>2708</v>
      </c>
      <c r="K206" s="388">
        <f t="shared" si="36"/>
        <v>2675</v>
      </c>
      <c r="L206" s="194"/>
      <c r="M206" s="194"/>
      <c r="N206" s="194"/>
    </row>
    <row r="207" spans="1:14" s="390" customFormat="1" ht="38.25" hidden="1" outlineLevel="3" x14ac:dyDescent="0.2">
      <c r="A207" s="191" t="s">
        <v>1137</v>
      </c>
      <c r="B207" s="132" t="s">
        <v>573</v>
      </c>
      <c r="C207" s="132" t="s">
        <v>572</v>
      </c>
      <c r="D207" s="314" t="s">
        <v>271</v>
      </c>
      <c r="E207" s="315">
        <f>108.88</f>
        <v>108.88</v>
      </c>
      <c r="F207" s="233">
        <f>(3282+357+10116+3746+1748+47+1121+2345+113+199+3277+1863)*(1.023*1.005-2.3%*15%)*6.99+0*4.09</f>
        <v>202080</v>
      </c>
      <c r="G207" s="387">
        <f>$G$327</f>
        <v>1.0960000000000001</v>
      </c>
      <c r="H207" s="388">
        <f t="shared" si="34"/>
        <v>221480</v>
      </c>
      <c r="I207" s="387">
        <f>Дефляторы!$D$116</f>
        <v>1.042</v>
      </c>
      <c r="J207" s="388">
        <f t="shared" si="35"/>
        <v>230782</v>
      </c>
      <c r="K207" s="388">
        <f t="shared" si="36"/>
        <v>227991</v>
      </c>
      <c r="L207" s="389" t="s">
        <v>577</v>
      </c>
      <c r="M207" s="194"/>
      <c r="N207" s="194"/>
    </row>
    <row r="208" spans="1:14" s="390" customFormat="1" ht="15.75" hidden="1" outlineLevel="3" x14ac:dyDescent="0.2">
      <c r="A208" s="191" t="s">
        <v>1138</v>
      </c>
      <c r="B208" s="132" t="s">
        <v>575</v>
      </c>
      <c r="C208" s="132" t="s">
        <v>574</v>
      </c>
      <c r="D208" s="314" t="s">
        <v>271</v>
      </c>
      <c r="E208" s="233">
        <v>200</v>
      </c>
      <c r="F208" s="233">
        <f>(29259+31374)*(1.023*1.005-2.3%*15%)*6.99+0*4.09</f>
        <v>434278</v>
      </c>
      <c r="G208" s="387">
        <f>$G$327</f>
        <v>1.0960000000000001</v>
      </c>
      <c r="H208" s="388">
        <f t="shared" si="34"/>
        <v>475969</v>
      </c>
      <c r="I208" s="387">
        <f>Дефляторы!$D$116</f>
        <v>1.042</v>
      </c>
      <c r="J208" s="388">
        <f t="shared" si="35"/>
        <v>495960</v>
      </c>
      <c r="K208" s="388">
        <f t="shared" si="36"/>
        <v>489963</v>
      </c>
      <c r="L208" s="194"/>
      <c r="M208" s="194"/>
      <c r="N208" s="194"/>
    </row>
    <row r="209" spans="1:14" s="390" customFormat="1" ht="25.5" hidden="1" outlineLevel="3" x14ac:dyDescent="0.2">
      <c r="A209" s="191" t="s">
        <v>1139</v>
      </c>
      <c r="B209" s="132" t="s">
        <v>576</v>
      </c>
      <c r="C209" s="132" t="s">
        <v>578</v>
      </c>
      <c r="D209" s="314" t="s">
        <v>271</v>
      </c>
      <c r="E209" s="315">
        <f>34.51</f>
        <v>34.51</v>
      </c>
      <c r="F209" s="233">
        <f>(4066)*(1.023*1.005-2.3%*15%)*6.99+0*4.09</f>
        <v>29122</v>
      </c>
      <c r="G209" s="387">
        <f>$G$327</f>
        <v>1.0960000000000001</v>
      </c>
      <c r="H209" s="388">
        <f t="shared" si="34"/>
        <v>31918</v>
      </c>
      <c r="I209" s="387">
        <f>Дефляторы!$D$116</f>
        <v>1.042</v>
      </c>
      <c r="J209" s="388">
        <f t="shared" si="35"/>
        <v>33259</v>
      </c>
      <c r="K209" s="388">
        <f t="shared" si="36"/>
        <v>32857</v>
      </c>
      <c r="L209" s="194"/>
      <c r="M209" s="194"/>
      <c r="N209" s="194"/>
    </row>
    <row r="210" spans="1:14" s="390" customFormat="1" ht="15.75" hidden="1" outlineLevel="3" x14ac:dyDescent="0.2">
      <c r="A210" s="191"/>
      <c r="B210" s="132"/>
      <c r="C210" s="192" t="s">
        <v>1006</v>
      </c>
      <c r="D210" s="314"/>
      <c r="E210" s="233"/>
      <c r="F210" s="233"/>
      <c r="G210" s="387"/>
      <c r="H210" s="388"/>
      <c r="I210" s="387">
        <f>Дефляторы!$D$116</f>
        <v>1.042</v>
      </c>
      <c r="J210" s="388">
        <f t="shared" si="35"/>
        <v>0</v>
      </c>
      <c r="K210" s="388">
        <f t="shared" si="36"/>
        <v>0</v>
      </c>
      <c r="L210" s="194"/>
      <c r="M210" s="194"/>
      <c r="N210" s="194"/>
    </row>
    <row r="211" spans="1:14" s="390" customFormat="1" ht="15.75" hidden="1" outlineLevel="3" x14ac:dyDescent="0.2">
      <c r="A211" s="191" t="s">
        <v>1140</v>
      </c>
      <c r="B211" s="132" t="s">
        <v>582</v>
      </c>
      <c r="C211" s="132" t="s">
        <v>579</v>
      </c>
      <c r="D211" s="314" t="s">
        <v>283</v>
      </c>
      <c r="E211" s="233">
        <v>1</v>
      </c>
      <c r="F211" s="233">
        <f>(1/5*213+444)*(1.023*1.005-2.3%*15%)*6.99+0*4.09</f>
        <v>3485</v>
      </c>
      <c r="G211" s="387">
        <f>$G$327</f>
        <v>1.0960000000000001</v>
      </c>
      <c r="H211" s="388">
        <f t="shared" si="34"/>
        <v>3820</v>
      </c>
      <c r="I211" s="387">
        <f>Дефляторы!$D$116</f>
        <v>1.042</v>
      </c>
      <c r="J211" s="388">
        <f t="shared" si="35"/>
        <v>3980</v>
      </c>
      <c r="K211" s="388">
        <f t="shared" si="36"/>
        <v>3932</v>
      </c>
      <c r="L211" s="194"/>
      <c r="M211" s="194"/>
      <c r="N211" s="194"/>
    </row>
    <row r="212" spans="1:14" s="390" customFormat="1" ht="15.75" hidden="1" outlineLevel="3" x14ac:dyDescent="0.2">
      <c r="A212" s="191" t="s">
        <v>1141</v>
      </c>
      <c r="B212" s="132" t="s">
        <v>583</v>
      </c>
      <c r="C212" s="132" t="s">
        <v>461</v>
      </c>
      <c r="D212" s="314" t="s">
        <v>283</v>
      </c>
      <c r="E212" s="233">
        <v>3</v>
      </c>
      <c r="F212" s="233">
        <f>(3/5*213+1456)*(1.023*1.005-2.3%*15%)*6.99+0*4.09</f>
        <v>11344</v>
      </c>
      <c r="G212" s="387">
        <f>$G$327</f>
        <v>1.0960000000000001</v>
      </c>
      <c r="H212" s="388">
        <f t="shared" si="34"/>
        <v>12433</v>
      </c>
      <c r="I212" s="387">
        <f>Дефляторы!$D$116</f>
        <v>1.042</v>
      </c>
      <c r="J212" s="388">
        <f t="shared" si="35"/>
        <v>12955</v>
      </c>
      <c r="K212" s="388">
        <f t="shared" si="36"/>
        <v>12798</v>
      </c>
      <c r="L212" s="194"/>
      <c r="M212" s="194"/>
      <c r="N212" s="194"/>
    </row>
    <row r="213" spans="1:14" s="390" customFormat="1" ht="15.75" hidden="1" outlineLevel="3" x14ac:dyDescent="0.2">
      <c r="A213" s="191" t="s">
        <v>1142</v>
      </c>
      <c r="B213" s="132" t="s">
        <v>584</v>
      </c>
      <c r="C213" s="132" t="s">
        <v>581</v>
      </c>
      <c r="D213" s="314" t="s">
        <v>283</v>
      </c>
      <c r="E213" s="233">
        <v>1</v>
      </c>
      <c r="F213" s="233">
        <f>(1/5*213+619)*(1.023*1.005-2.3%*15%)*6.99+0*4.09</f>
        <v>4739</v>
      </c>
      <c r="G213" s="387">
        <f>$G$327</f>
        <v>1.0960000000000001</v>
      </c>
      <c r="H213" s="388">
        <f t="shared" si="34"/>
        <v>5194</v>
      </c>
      <c r="I213" s="387">
        <f>Дефляторы!$D$116</f>
        <v>1.042</v>
      </c>
      <c r="J213" s="388">
        <f t="shared" si="35"/>
        <v>5412</v>
      </c>
      <c r="K213" s="388">
        <f t="shared" si="36"/>
        <v>5347</v>
      </c>
      <c r="L213" s="194"/>
      <c r="M213" s="194"/>
      <c r="N213" s="194"/>
    </row>
    <row r="214" spans="1:14" s="390" customFormat="1" ht="15.75" hidden="1" outlineLevel="3" x14ac:dyDescent="0.2">
      <c r="A214" s="191" t="s">
        <v>1143</v>
      </c>
      <c r="B214" s="132" t="s">
        <v>586</v>
      </c>
      <c r="C214" s="132" t="s">
        <v>585</v>
      </c>
      <c r="D214" s="314" t="s">
        <v>250</v>
      </c>
      <c r="E214" s="233">
        <v>1</v>
      </c>
      <c r="F214" s="233">
        <f>(24272)*(1.023*1.005-2.3%*15%)*6.99+0*4.09-29</f>
        <v>173817</v>
      </c>
      <c r="G214" s="387">
        <f>$G$327</f>
        <v>1.0960000000000001</v>
      </c>
      <c r="H214" s="388">
        <f t="shared" si="34"/>
        <v>190503</v>
      </c>
      <c r="I214" s="387">
        <f>Дефляторы!$D$116</f>
        <v>1.042</v>
      </c>
      <c r="J214" s="388">
        <f t="shared" si="35"/>
        <v>198504</v>
      </c>
      <c r="K214" s="388">
        <f t="shared" si="36"/>
        <v>196104</v>
      </c>
      <c r="L214" s="194"/>
      <c r="M214" s="194"/>
      <c r="N214" s="194"/>
    </row>
    <row r="215" spans="1:14" s="390" customFormat="1" ht="15.75" hidden="1" outlineLevel="3" x14ac:dyDescent="0.2">
      <c r="A215" s="191"/>
      <c r="B215" s="132"/>
      <c r="C215" s="192" t="s">
        <v>992</v>
      </c>
      <c r="D215" s="314"/>
      <c r="E215" s="233"/>
      <c r="F215" s="233"/>
      <c r="G215" s="387"/>
      <c r="H215" s="388"/>
      <c r="I215" s="387">
        <f>Дефляторы!$D$116</f>
        <v>1.042</v>
      </c>
      <c r="J215" s="388">
        <f t="shared" si="35"/>
        <v>0</v>
      </c>
      <c r="K215" s="388">
        <f t="shared" si="36"/>
        <v>0</v>
      </c>
      <c r="L215" s="194"/>
      <c r="M215" s="194"/>
      <c r="N215" s="194"/>
    </row>
    <row r="216" spans="1:14" s="390" customFormat="1" ht="25.5" hidden="1" outlineLevel="3" x14ac:dyDescent="0.2">
      <c r="A216" s="191" t="s">
        <v>1144</v>
      </c>
      <c r="B216" s="132" t="s">
        <v>588</v>
      </c>
      <c r="C216" s="132" t="s">
        <v>463</v>
      </c>
      <c r="D216" s="314" t="s">
        <v>283</v>
      </c>
      <c r="E216" s="233">
        <v>1</v>
      </c>
      <c r="F216" s="233">
        <f>(309)*(1.023*1.005-2.3%*15%)*6.99+23057*4.09</f>
        <v>96516</v>
      </c>
      <c r="G216" s="387">
        <f>$G$327</f>
        <v>1.0960000000000001</v>
      </c>
      <c r="H216" s="388">
        <f t="shared" si="34"/>
        <v>105782</v>
      </c>
      <c r="I216" s="387">
        <f>Дефляторы!$D$116</f>
        <v>1.042</v>
      </c>
      <c r="J216" s="388">
        <f t="shared" si="35"/>
        <v>110225</v>
      </c>
      <c r="K216" s="388">
        <f t="shared" si="36"/>
        <v>108892</v>
      </c>
      <c r="L216" s="194"/>
      <c r="M216" s="194"/>
      <c r="N216" s="194"/>
    </row>
    <row r="217" spans="1:14" s="390" customFormat="1" ht="25.5" hidden="1" outlineLevel="3" x14ac:dyDescent="0.2">
      <c r="A217" s="191" t="s">
        <v>1145</v>
      </c>
      <c r="B217" s="132" t="s">
        <v>589</v>
      </c>
      <c r="C217" s="132" t="s">
        <v>465</v>
      </c>
      <c r="D217" s="314" t="s">
        <v>283</v>
      </c>
      <c r="E217" s="233">
        <v>1</v>
      </c>
      <c r="F217" s="233">
        <f>(1724)*(1.023*1.005-2.3%*15%)*6.99+38903*4.09</f>
        <v>171461</v>
      </c>
      <c r="G217" s="387">
        <f>$G$327</f>
        <v>1.0960000000000001</v>
      </c>
      <c r="H217" s="388">
        <f t="shared" si="34"/>
        <v>187921</v>
      </c>
      <c r="I217" s="387">
        <f>Дефляторы!$D$116</f>
        <v>1.042</v>
      </c>
      <c r="J217" s="388">
        <f t="shared" si="35"/>
        <v>195814</v>
      </c>
      <c r="K217" s="388">
        <f t="shared" si="36"/>
        <v>193446</v>
      </c>
      <c r="L217" s="194"/>
      <c r="M217" s="194"/>
      <c r="N217" s="194"/>
    </row>
    <row r="218" spans="1:14" s="390" customFormat="1" ht="15.75" hidden="1" outlineLevel="3" x14ac:dyDescent="0.2">
      <c r="A218" s="191" t="s">
        <v>1146</v>
      </c>
      <c r="B218" s="132" t="s">
        <v>591</v>
      </c>
      <c r="C218" s="132" t="s">
        <v>590</v>
      </c>
      <c r="D218" s="314" t="s">
        <v>250</v>
      </c>
      <c r="E218" s="233">
        <v>1</v>
      </c>
      <c r="F218" s="233">
        <f>(6903)*(1.023*1.005-2.3%*15%)*6.99+0*4.09</f>
        <v>49442</v>
      </c>
      <c r="G218" s="387">
        <f>$G$327</f>
        <v>1.0960000000000001</v>
      </c>
      <c r="H218" s="388">
        <f t="shared" si="34"/>
        <v>54188</v>
      </c>
      <c r="I218" s="387">
        <f>Дефляторы!$D$116</f>
        <v>1.042</v>
      </c>
      <c r="J218" s="388">
        <f t="shared" si="35"/>
        <v>56464</v>
      </c>
      <c r="K218" s="388">
        <f t="shared" si="36"/>
        <v>55781</v>
      </c>
      <c r="L218" s="194"/>
      <c r="M218" s="194"/>
      <c r="N218" s="194"/>
    </row>
    <row r="219" spans="1:14" s="390" customFormat="1" ht="15.75" hidden="1" outlineLevel="3" x14ac:dyDescent="0.2">
      <c r="A219" s="191" t="s">
        <v>1147</v>
      </c>
      <c r="B219" s="132" t="s">
        <v>593</v>
      </c>
      <c r="C219" s="132" t="s">
        <v>592</v>
      </c>
      <c r="D219" s="314" t="s">
        <v>250</v>
      </c>
      <c r="E219" s="233">
        <v>1</v>
      </c>
      <c r="F219" s="233">
        <f>(28114)*(1.023*1.005-2.3%*15%)*6.99+0*4.09-14</f>
        <v>201350</v>
      </c>
      <c r="G219" s="387">
        <f>$G$327</f>
        <v>1.0960000000000001</v>
      </c>
      <c r="H219" s="388">
        <f t="shared" si="34"/>
        <v>220680</v>
      </c>
      <c r="I219" s="387">
        <f>Дефляторы!$D$116</f>
        <v>1.042</v>
      </c>
      <c r="J219" s="388">
        <f t="shared" si="35"/>
        <v>229949</v>
      </c>
      <c r="K219" s="388">
        <f t="shared" si="36"/>
        <v>227168</v>
      </c>
      <c r="L219" s="194"/>
      <c r="M219" s="194"/>
      <c r="N219" s="194"/>
    </row>
    <row r="220" spans="1:14" s="390" customFormat="1" ht="15.75" hidden="1" outlineLevel="3" x14ac:dyDescent="0.2">
      <c r="A220" s="191" t="s">
        <v>1148</v>
      </c>
      <c r="B220" s="132" t="s">
        <v>595</v>
      </c>
      <c r="C220" s="132" t="s">
        <v>594</v>
      </c>
      <c r="D220" s="314" t="s">
        <v>250</v>
      </c>
      <c r="E220" s="233">
        <v>1</v>
      </c>
      <c r="F220" s="233">
        <f>(25582)*(1.023*1.005-2.3%*15%)*6.99+0*4.09</f>
        <v>183229</v>
      </c>
      <c r="G220" s="387">
        <f>$G$327</f>
        <v>1.0960000000000001</v>
      </c>
      <c r="H220" s="388">
        <f t="shared" si="34"/>
        <v>200819</v>
      </c>
      <c r="I220" s="387">
        <f>Дефляторы!$D$116</f>
        <v>1.042</v>
      </c>
      <c r="J220" s="388">
        <f t="shared" si="35"/>
        <v>209253</v>
      </c>
      <c r="K220" s="388">
        <f t="shared" si="36"/>
        <v>206723</v>
      </c>
      <c r="L220" s="194"/>
      <c r="M220" s="194"/>
      <c r="N220" s="194"/>
    </row>
    <row r="221" spans="1:14" s="390" customFormat="1" ht="15.75" hidden="1" outlineLevel="3" x14ac:dyDescent="0.2">
      <c r="A221" s="191"/>
      <c r="B221" s="132"/>
      <c r="C221" s="192" t="s">
        <v>999</v>
      </c>
      <c r="D221" s="314"/>
      <c r="E221" s="233"/>
      <c r="F221" s="233"/>
      <c r="G221" s="387"/>
      <c r="H221" s="388"/>
      <c r="I221" s="387">
        <f>Дефляторы!$D$116</f>
        <v>1.042</v>
      </c>
      <c r="J221" s="388">
        <f t="shared" si="35"/>
        <v>0</v>
      </c>
      <c r="K221" s="388">
        <f t="shared" si="36"/>
        <v>0</v>
      </c>
      <c r="L221" s="389"/>
      <c r="M221" s="194"/>
      <c r="N221" s="194"/>
    </row>
    <row r="222" spans="1:14" s="390" customFormat="1" ht="63.75" hidden="1" outlineLevel="3" x14ac:dyDescent="0.2">
      <c r="A222" s="191" t="s">
        <v>1149</v>
      </c>
      <c r="B222" s="132" t="s">
        <v>597</v>
      </c>
      <c r="C222" s="132" t="s">
        <v>473</v>
      </c>
      <c r="D222" s="315" t="s">
        <v>283</v>
      </c>
      <c r="E222" s="233">
        <v>1</v>
      </c>
      <c r="F222" s="233">
        <f>(1/3*138+3643)*(1.023*1.005-2.3%*15%)*6.99+0*4.09+37</f>
        <v>26459</v>
      </c>
      <c r="G222" s="387">
        <f>$G$327</f>
        <v>1.0960000000000001</v>
      </c>
      <c r="H222" s="388">
        <f t="shared" si="34"/>
        <v>28999</v>
      </c>
      <c r="I222" s="387">
        <f>Дефляторы!$D$116</f>
        <v>1.042</v>
      </c>
      <c r="J222" s="388">
        <f t="shared" si="35"/>
        <v>30217</v>
      </c>
      <c r="K222" s="388">
        <f t="shared" si="36"/>
        <v>29852</v>
      </c>
      <c r="L222" s="389" t="s">
        <v>1226</v>
      </c>
      <c r="M222" s="194"/>
      <c r="N222" s="194"/>
    </row>
    <row r="223" spans="1:14" s="390" customFormat="1" ht="63.75" hidden="1" outlineLevel="3" x14ac:dyDescent="0.2">
      <c r="A223" s="191" t="s">
        <v>1150</v>
      </c>
      <c r="B223" s="132" t="s">
        <v>598</v>
      </c>
      <c r="C223" s="132" t="s">
        <v>475</v>
      </c>
      <c r="D223" s="315" t="s">
        <v>283</v>
      </c>
      <c r="E223" s="233">
        <v>1</v>
      </c>
      <c r="F223" s="233">
        <f>(1/3*138+1027)*(1.023*1.005-2.3%*15%)*6.99+0*4.09</f>
        <v>7685</v>
      </c>
      <c r="G223" s="387">
        <f>$G$327</f>
        <v>1.0960000000000001</v>
      </c>
      <c r="H223" s="388">
        <f t="shared" si="34"/>
        <v>8423</v>
      </c>
      <c r="I223" s="387">
        <f>Дефляторы!$D$116</f>
        <v>1.042</v>
      </c>
      <c r="J223" s="388">
        <f t="shared" si="35"/>
        <v>8777</v>
      </c>
      <c r="K223" s="388">
        <f t="shared" si="36"/>
        <v>8671</v>
      </c>
      <c r="L223" s="389" t="s">
        <v>1227</v>
      </c>
      <c r="M223" s="194"/>
      <c r="N223" s="194"/>
    </row>
    <row r="224" spans="1:14" s="390" customFormat="1" ht="63.75" hidden="1" outlineLevel="3" x14ac:dyDescent="0.2">
      <c r="A224" s="191" t="s">
        <v>1151</v>
      </c>
      <c r="B224" s="132" t="s">
        <v>599</v>
      </c>
      <c r="C224" s="132" t="s">
        <v>477</v>
      </c>
      <c r="D224" s="315" t="s">
        <v>283</v>
      </c>
      <c r="E224" s="233">
        <v>1</v>
      </c>
      <c r="F224" s="233">
        <f>(1/3*138+917)*(1.023*1.005-2.3%*15%)*6.99+0*4.09</f>
        <v>6897</v>
      </c>
      <c r="G224" s="387">
        <f>$G$327</f>
        <v>1.0960000000000001</v>
      </c>
      <c r="H224" s="388">
        <f t="shared" si="34"/>
        <v>7559</v>
      </c>
      <c r="I224" s="387">
        <f>Дефляторы!$D$116</f>
        <v>1.042</v>
      </c>
      <c r="J224" s="388">
        <f t="shared" si="35"/>
        <v>7876</v>
      </c>
      <c r="K224" s="388">
        <f t="shared" si="36"/>
        <v>7781</v>
      </c>
      <c r="L224" s="389" t="s">
        <v>1228</v>
      </c>
      <c r="M224" s="194"/>
      <c r="N224" s="194"/>
    </row>
    <row r="225" spans="1:14" s="362" customFormat="1" ht="15.75" outlineLevel="1" collapsed="1" x14ac:dyDescent="0.2">
      <c r="A225" s="282" t="s">
        <v>920</v>
      </c>
      <c r="B225" s="283"/>
      <c r="C225" s="283" t="s">
        <v>1005</v>
      </c>
      <c r="D225" s="359" t="s">
        <v>250</v>
      </c>
      <c r="E225" s="154">
        <v>1</v>
      </c>
      <c r="F225" s="154">
        <f>SUM(F227:F248)</f>
        <v>26065621</v>
      </c>
      <c r="G225" s="296">
        <f>$G$327</f>
        <v>1.0960000000000001</v>
      </c>
      <c r="H225" s="337">
        <f>SUM(H227:H248)</f>
        <v>28567921</v>
      </c>
      <c r="I225" s="296">
        <f>Дефляторы!$D$125</f>
        <v>1.0429999999999999</v>
      </c>
      <c r="J225" s="337">
        <f>SUM(J227:J248)</f>
        <v>29796342</v>
      </c>
      <c r="K225" s="337">
        <f>SUM(K227:K248)</f>
        <v>29427817</v>
      </c>
      <c r="L225" s="360"/>
      <c r="M225" s="360"/>
      <c r="N225" s="360"/>
    </row>
    <row r="226" spans="1:14" s="373" customFormat="1" ht="15.75" hidden="1" outlineLevel="2" x14ac:dyDescent="0.2">
      <c r="A226" s="208"/>
      <c r="B226" s="100"/>
      <c r="C226" s="267" t="s">
        <v>1000</v>
      </c>
      <c r="D226" s="157"/>
      <c r="E226" s="277"/>
      <c r="F226" s="277"/>
      <c r="G226" s="299"/>
      <c r="H226" s="339"/>
      <c r="I226" s="299">
        <f>Дефляторы!$D$125</f>
        <v>1.0429999999999999</v>
      </c>
      <c r="J226" s="339"/>
      <c r="K226" s="339"/>
      <c r="L226" s="372"/>
      <c r="M226" s="372"/>
      <c r="N226" s="372"/>
    </row>
    <row r="227" spans="1:14" s="373" customFormat="1" ht="15.75" hidden="1" outlineLevel="2" x14ac:dyDescent="0.2">
      <c r="A227" s="208" t="s">
        <v>921</v>
      </c>
      <c r="B227" s="100" t="s">
        <v>627</v>
      </c>
      <c r="C227" s="100" t="s">
        <v>279</v>
      </c>
      <c r="D227" s="157" t="s">
        <v>250</v>
      </c>
      <c r="E227" s="277">
        <v>1</v>
      </c>
      <c r="F227" s="277">
        <f>16058*(1.023*1.005-2.3%*15%)*6.99-21</f>
        <v>114993</v>
      </c>
      <c r="G227" s="299">
        <f t="shared" ref="G227:G233" si="38">$G$327</f>
        <v>1.0960000000000001</v>
      </c>
      <c r="H227" s="339">
        <f t="shared" si="34"/>
        <v>126032</v>
      </c>
      <c r="I227" s="299">
        <f>Дефляторы!$D$125</f>
        <v>1.0429999999999999</v>
      </c>
      <c r="J227" s="339">
        <f t="shared" ref="J227:J248" si="39">H227*I227</f>
        <v>131451</v>
      </c>
      <c r="K227" s="339">
        <f t="shared" ref="K227:K248" si="40">H227+(J227-H227)*(1-30/100)</f>
        <v>129825</v>
      </c>
      <c r="L227" s="372"/>
      <c r="M227" s="372"/>
      <c r="N227" s="372"/>
    </row>
    <row r="228" spans="1:14" s="373" customFormat="1" ht="15.75" hidden="1" outlineLevel="2" x14ac:dyDescent="0.2">
      <c r="A228" s="208" t="s">
        <v>922</v>
      </c>
      <c r="B228" s="100" t="s">
        <v>629</v>
      </c>
      <c r="C228" s="100" t="s">
        <v>628</v>
      </c>
      <c r="D228" s="157" t="s">
        <v>250</v>
      </c>
      <c r="E228" s="277">
        <v>1</v>
      </c>
      <c r="F228" s="277">
        <f>35912*(1.023*1.005-2.3%*15%)*6.99</f>
        <v>257216</v>
      </c>
      <c r="G228" s="299">
        <f t="shared" si="38"/>
        <v>1.0960000000000001</v>
      </c>
      <c r="H228" s="339">
        <f t="shared" si="34"/>
        <v>281909</v>
      </c>
      <c r="I228" s="299">
        <f>Дефляторы!$D$125</f>
        <v>1.0429999999999999</v>
      </c>
      <c r="J228" s="339">
        <f t="shared" si="39"/>
        <v>294031</v>
      </c>
      <c r="K228" s="339">
        <f t="shared" si="40"/>
        <v>290394</v>
      </c>
      <c r="L228" s="372"/>
      <c r="M228" s="372"/>
      <c r="N228" s="372"/>
    </row>
    <row r="229" spans="1:14" s="373" customFormat="1" ht="15.75" hidden="1" outlineLevel="2" x14ac:dyDescent="0.2">
      <c r="A229" s="208" t="s">
        <v>923</v>
      </c>
      <c r="B229" s="100" t="s">
        <v>631</v>
      </c>
      <c r="C229" s="100" t="s">
        <v>630</v>
      </c>
      <c r="D229" s="157" t="s">
        <v>250</v>
      </c>
      <c r="E229" s="277">
        <v>1</v>
      </c>
      <c r="F229" s="277">
        <f>3101*(1.023*1.005-2.3%*15%)*6.99</f>
        <v>22211</v>
      </c>
      <c r="G229" s="299">
        <f t="shared" si="38"/>
        <v>1.0960000000000001</v>
      </c>
      <c r="H229" s="339">
        <f t="shared" si="34"/>
        <v>24343</v>
      </c>
      <c r="I229" s="299">
        <f>Дефляторы!$D$125</f>
        <v>1.0429999999999999</v>
      </c>
      <c r="J229" s="339">
        <f t="shared" si="39"/>
        <v>25390</v>
      </c>
      <c r="K229" s="339">
        <f t="shared" si="40"/>
        <v>25076</v>
      </c>
      <c r="L229" s="372"/>
      <c r="M229" s="372"/>
      <c r="N229" s="372"/>
    </row>
    <row r="230" spans="1:14" s="373" customFormat="1" ht="15.75" hidden="1" outlineLevel="2" x14ac:dyDescent="0.2">
      <c r="A230" s="208" t="s">
        <v>924</v>
      </c>
      <c r="B230" s="100" t="s">
        <v>632</v>
      </c>
      <c r="C230" s="100" t="s">
        <v>443</v>
      </c>
      <c r="D230" s="157" t="s">
        <v>250</v>
      </c>
      <c r="E230" s="277">
        <v>1</v>
      </c>
      <c r="F230" s="277">
        <f>4589*(1.023*1.005-2.3%*15%)*6.99</f>
        <v>32868</v>
      </c>
      <c r="G230" s="299">
        <f t="shared" si="38"/>
        <v>1.0960000000000001</v>
      </c>
      <c r="H230" s="339">
        <f t="shared" si="34"/>
        <v>36023</v>
      </c>
      <c r="I230" s="299">
        <f>Дефляторы!$D$125</f>
        <v>1.0429999999999999</v>
      </c>
      <c r="J230" s="339">
        <f t="shared" si="39"/>
        <v>37572</v>
      </c>
      <c r="K230" s="339">
        <f t="shared" si="40"/>
        <v>37107</v>
      </c>
      <c r="L230" s="372"/>
      <c r="M230" s="372"/>
      <c r="N230" s="372"/>
    </row>
    <row r="231" spans="1:14" s="373" customFormat="1" ht="15.75" hidden="1" outlineLevel="2" x14ac:dyDescent="0.2">
      <c r="A231" s="208" t="s">
        <v>926</v>
      </c>
      <c r="B231" s="100" t="s">
        <v>634</v>
      </c>
      <c r="C231" s="100" t="s">
        <v>633</v>
      </c>
      <c r="D231" s="157" t="s">
        <v>250</v>
      </c>
      <c r="E231" s="277">
        <v>1</v>
      </c>
      <c r="F231" s="277">
        <f>3344*(1.023*1.005-2.3%*15%)*6.99</f>
        <v>23951</v>
      </c>
      <c r="G231" s="299">
        <f t="shared" si="38"/>
        <v>1.0960000000000001</v>
      </c>
      <c r="H231" s="339">
        <f t="shared" si="34"/>
        <v>26250</v>
      </c>
      <c r="I231" s="299">
        <f>Дефляторы!$D$125</f>
        <v>1.0429999999999999</v>
      </c>
      <c r="J231" s="339">
        <f t="shared" si="39"/>
        <v>27379</v>
      </c>
      <c r="K231" s="339">
        <f t="shared" si="40"/>
        <v>27040</v>
      </c>
      <c r="L231" s="372"/>
      <c r="M231" s="372"/>
      <c r="N231" s="372"/>
    </row>
    <row r="232" spans="1:14" s="373" customFormat="1" ht="15.75" hidden="1" outlineLevel="2" x14ac:dyDescent="0.2">
      <c r="A232" s="208" t="s">
        <v>927</v>
      </c>
      <c r="B232" s="100" t="s">
        <v>636</v>
      </c>
      <c r="C232" s="100" t="s">
        <v>635</v>
      </c>
      <c r="D232" s="157" t="s">
        <v>250</v>
      </c>
      <c r="E232" s="277">
        <v>1</v>
      </c>
      <c r="F232" s="277">
        <f>10391*(1.023*1.005-2.3%*15%)*6.99</f>
        <v>74425</v>
      </c>
      <c r="G232" s="299">
        <f t="shared" si="38"/>
        <v>1.0960000000000001</v>
      </c>
      <c r="H232" s="339">
        <f t="shared" si="34"/>
        <v>81570</v>
      </c>
      <c r="I232" s="299">
        <f>Дефляторы!$D$125</f>
        <v>1.0429999999999999</v>
      </c>
      <c r="J232" s="339">
        <f t="shared" si="39"/>
        <v>85078</v>
      </c>
      <c r="K232" s="339">
        <f t="shared" si="40"/>
        <v>84026</v>
      </c>
      <c r="L232" s="372"/>
      <c r="M232" s="372"/>
      <c r="N232" s="372"/>
    </row>
    <row r="233" spans="1:14" s="373" customFormat="1" ht="15.75" hidden="1" outlineLevel="2" x14ac:dyDescent="0.2">
      <c r="A233" s="208" t="s">
        <v>928</v>
      </c>
      <c r="B233" s="100" t="s">
        <v>638</v>
      </c>
      <c r="C233" s="100" t="s">
        <v>637</v>
      </c>
      <c r="D233" s="157" t="s">
        <v>271</v>
      </c>
      <c r="E233" s="382">
        <f>21.2</f>
        <v>21.2</v>
      </c>
      <c r="F233" s="277">
        <f>2698*(1.023*1.005-2.3%*15%)*6.99</f>
        <v>19324</v>
      </c>
      <c r="G233" s="299">
        <f t="shared" si="38"/>
        <v>1.0960000000000001</v>
      </c>
      <c r="H233" s="339">
        <f t="shared" si="34"/>
        <v>21179</v>
      </c>
      <c r="I233" s="299">
        <f>Дефляторы!$D$125</f>
        <v>1.0429999999999999</v>
      </c>
      <c r="J233" s="339">
        <f t="shared" si="39"/>
        <v>22090</v>
      </c>
      <c r="K233" s="339">
        <f t="shared" si="40"/>
        <v>21817</v>
      </c>
      <c r="L233" s="372"/>
      <c r="M233" s="372"/>
      <c r="N233" s="372"/>
    </row>
    <row r="234" spans="1:14" s="373" customFormat="1" ht="15.75" hidden="1" outlineLevel="2" x14ac:dyDescent="0.2">
      <c r="A234" s="208"/>
      <c r="B234" s="100"/>
      <c r="C234" s="267" t="s">
        <v>992</v>
      </c>
      <c r="D234" s="157"/>
      <c r="E234" s="277"/>
      <c r="F234" s="277"/>
      <c r="G234" s="299"/>
      <c r="H234" s="339"/>
      <c r="I234" s="299">
        <f>Дефляторы!$D$125</f>
        <v>1.0429999999999999</v>
      </c>
      <c r="J234" s="339">
        <f t="shared" si="39"/>
        <v>0</v>
      </c>
      <c r="K234" s="339">
        <f t="shared" si="40"/>
        <v>0</v>
      </c>
      <c r="L234" s="372"/>
      <c r="M234" s="372"/>
      <c r="N234" s="372"/>
    </row>
    <row r="235" spans="1:14" s="373" customFormat="1" ht="15.75" hidden="1" outlineLevel="2" x14ac:dyDescent="0.2">
      <c r="A235" s="208" t="s">
        <v>929</v>
      </c>
      <c r="B235" s="100" t="s">
        <v>640</v>
      </c>
      <c r="C235" s="100" t="s">
        <v>639</v>
      </c>
      <c r="D235" s="157" t="s">
        <v>250</v>
      </c>
      <c r="E235" s="277">
        <v>1</v>
      </c>
      <c r="F235" s="277">
        <f>6744*(1.023*1.005-2.3%*15%)*6.99</f>
        <v>48303</v>
      </c>
      <c r="G235" s="299">
        <f>$G$327</f>
        <v>1.0960000000000001</v>
      </c>
      <c r="H235" s="339">
        <f t="shared" ref="H235:H298" si="41">F235*G235</f>
        <v>52940</v>
      </c>
      <c r="I235" s="299">
        <f>Дефляторы!$D$125</f>
        <v>1.0429999999999999</v>
      </c>
      <c r="J235" s="339">
        <f t="shared" si="39"/>
        <v>55216</v>
      </c>
      <c r="K235" s="339">
        <f t="shared" si="40"/>
        <v>54533</v>
      </c>
      <c r="L235" s="372"/>
      <c r="M235" s="372"/>
      <c r="N235" s="372"/>
    </row>
    <row r="236" spans="1:14" s="373" customFormat="1" ht="25.5" hidden="1" outlineLevel="2" x14ac:dyDescent="0.2">
      <c r="A236" s="208" t="s">
        <v>930</v>
      </c>
      <c r="B236" s="100" t="s">
        <v>642</v>
      </c>
      <c r="C236" s="100" t="s">
        <v>641</v>
      </c>
      <c r="D236" s="157" t="s">
        <v>283</v>
      </c>
      <c r="E236" s="277">
        <v>1</v>
      </c>
      <c r="F236" s="277">
        <f>(1059+70466)*(1.023*1.005-2.3%*15%)*6.99+5946634*4.09-8</f>
        <v>24834016</v>
      </c>
      <c r="G236" s="299">
        <f>$G$327</f>
        <v>1.0960000000000001</v>
      </c>
      <c r="H236" s="339">
        <f t="shared" si="41"/>
        <v>27218082</v>
      </c>
      <c r="I236" s="299">
        <f>Дефляторы!$D$125</f>
        <v>1.0429999999999999</v>
      </c>
      <c r="J236" s="339">
        <f t="shared" si="39"/>
        <v>28388460</v>
      </c>
      <c r="K236" s="339">
        <f t="shared" si="40"/>
        <v>28037347</v>
      </c>
      <c r="L236" s="372"/>
      <c r="M236" s="372"/>
      <c r="N236" s="372"/>
    </row>
    <row r="237" spans="1:14" s="373" customFormat="1" ht="15.75" hidden="1" outlineLevel="2" x14ac:dyDescent="0.2">
      <c r="A237" s="208"/>
      <c r="B237" s="100"/>
      <c r="C237" s="267" t="s">
        <v>142</v>
      </c>
      <c r="D237" s="157"/>
      <c r="E237" s="277"/>
      <c r="F237" s="277"/>
      <c r="G237" s="299"/>
      <c r="H237" s="339"/>
      <c r="I237" s="299">
        <f>Дефляторы!$D$125</f>
        <v>1.0429999999999999</v>
      </c>
      <c r="J237" s="339">
        <f t="shared" si="39"/>
        <v>0</v>
      </c>
      <c r="K237" s="339">
        <f t="shared" si="40"/>
        <v>0</v>
      </c>
      <c r="L237" s="375" t="s">
        <v>362</v>
      </c>
      <c r="M237" s="372"/>
      <c r="N237" s="372"/>
    </row>
    <row r="238" spans="1:14" s="373" customFormat="1" ht="15.75" hidden="1" outlineLevel="2" x14ac:dyDescent="0.2">
      <c r="A238" s="208"/>
      <c r="B238" s="100"/>
      <c r="C238" s="267" t="s">
        <v>279</v>
      </c>
      <c r="D238" s="157"/>
      <c r="E238" s="277"/>
      <c r="F238" s="277"/>
      <c r="G238" s="299"/>
      <c r="H238" s="339"/>
      <c r="I238" s="299">
        <f>Дефляторы!$D$125</f>
        <v>1.0429999999999999</v>
      </c>
      <c r="J238" s="339">
        <f t="shared" si="39"/>
        <v>0</v>
      </c>
      <c r="K238" s="339">
        <f t="shared" si="40"/>
        <v>0</v>
      </c>
      <c r="L238" s="372"/>
      <c r="M238" s="372"/>
      <c r="N238" s="372"/>
    </row>
    <row r="239" spans="1:14" s="373" customFormat="1" ht="25.5" hidden="1" outlineLevel="2" x14ac:dyDescent="0.2">
      <c r="A239" s="208" t="s">
        <v>931</v>
      </c>
      <c r="B239" s="100" t="s">
        <v>353</v>
      </c>
      <c r="C239" s="100" t="s">
        <v>265</v>
      </c>
      <c r="D239" s="157" t="s">
        <v>262</v>
      </c>
      <c r="E239" s="277">
        <v>88</v>
      </c>
      <c r="F239" s="277">
        <f>17400*(1.023*1.005-2.3%*15%)*6.99+44</f>
        <v>124670</v>
      </c>
      <c r="G239" s="299">
        <f t="shared" ref="G239:G244" si="42">$G$327</f>
        <v>1.0960000000000001</v>
      </c>
      <c r="H239" s="339">
        <f t="shared" si="41"/>
        <v>136638</v>
      </c>
      <c r="I239" s="299">
        <f>Дефляторы!$D$125</f>
        <v>1.0429999999999999</v>
      </c>
      <c r="J239" s="339">
        <f t="shared" si="39"/>
        <v>142513</v>
      </c>
      <c r="K239" s="339">
        <f t="shared" si="40"/>
        <v>140751</v>
      </c>
      <c r="L239" s="372"/>
      <c r="M239" s="372"/>
      <c r="N239" s="372"/>
    </row>
    <row r="240" spans="1:14" s="373" customFormat="1" ht="15.75" hidden="1" outlineLevel="2" x14ac:dyDescent="0.2">
      <c r="A240" s="208" t="s">
        <v>1152</v>
      </c>
      <c r="B240" s="100" t="s">
        <v>355</v>
      </c>
      <c r="C240" s="100" t="s">
        <v>1224</v>
      </c>
      <c r="D240" s="157" t="s">
        <v>262</v>
      </c>
      <c r="E240" s="382">
        <f>61.6</f>
        <v>61.6</v>
      </c>
      <c r="F240" s="277">
        <f>(1331+555)*(1.023*1.005-2.3%*15%)*6.99</f>
        <v>13508</v>
      </c>
      <c r="G240" s="299">
        <f t="shared" si="42"/>
        <v>1.0960000000000001</v>
      </c>
      <c r="H240" s="339">
        <f t="shared" si="41"/>
        <v>14805</v>
      </c>
      <c r="I240" s="299">
        <f>Дефляторы!$D$125</f>
        <v>1.0429999999999999</v>
      </c>
      <c r="J240" s="339">
        <f t="shared" si="39"/>
        <v>15442</v>
      </c>
      <c r="K240" s="339">
        <f t="shared" si="40"/>
        <v>15251</v>
      </c>
      <c r="L240" s="372"/>
      <c r="M240" s="372"/>
      <c r="N240" s="372"/>
    </row>
    <row r="241" spans="1:14" s="373" customFormat="1" ht="15.75" hidden="1" outlineLevel="2" x14ac:dyDescent="0.2">
      <c r="A241" s="208" t="s">
        <v>1153</v>
      </c>
      <c r="B241" s="100" t="s">
        <v>356</v>
      </c>
      <c r="C241" s="100" t="s">
        <v>500</v>
      </c>
      <c r="D241" s="157" t="s">
        <v>262</v>
      </c>
      <c r="E241" s="382">
        <f>26.4</f>
        <v>26.4</v>
      </c>
      <c r="F241" s="277">
        <f>442*(1.023*1.005-2.3%*15%)*6.99</f>
        <v>3166</v>
      </c>
      <c r="G241" s="299">
        <f t="shared" si="42"/>
        <v>1.0960000000000001</v>
      </c>
      <c r="H241" s="339">
        <f t="shared" si="41"/>
        <v>3470</v>
      </c>
      <c r="I241" s="299">
        <f>Дефляторы!$D$125</f>
        <v>1.0429999999999999</v>
      </c>
      <c r="J241" s="339">
        <f t="shared" si="39"/>
        <v>3619</v>
      </c>
      <c r="K241" s="339">
        <f t="shared" si="40"/>
        <v>3574</v>
      </c>
      <c r="L241" s="372"/>
      <c r="M241" s="372"/>
      <c r="N241" s="372"/>
    </row>
    <row r="242" spans="1:14" s="373" customFormat="1" ht="15.75" hidden="1" outlineLevel="2" x14ac:dyDescent="0.2">
      <c r="A242" s="208" t="s">
        <v>1154</v>
      </c>
      <c r="B242" s="100" t="s">
        <v>357</v>
      </c>
      <c r="C242" s="100" t="s">
        <v>343</v>
      </c>
      <c r="D242" s="157" t="s">
        <v>262</v>
      </c>
      <c r="E242" s="382">
        <f>26.4</f>
        <v>26.4</v>
      </c>
      <c r="F242" s="277">
        <f>(90+63+272)*(1.023*1.005-2.3%*15%)*6.99</f>
        <v>3044</v>
      </c>
      <c r="G242" s="299">
        <f t="shared" si="42"/>
        <v>1.0960000000000001</v>
      </c>
      <c r="H242" s="339">
        <f t="shared" si="41"/>
        <v>3336</v>
      </c>
      <c r="I242" s="299">
        <f>Дефляторы!$D$125</f>
        <v>1.0429999999999999</v>
      </c>
      <c r="J242" s="339">
        <f t="shared" si="39"/>
        <v>3479</v>
      </c>
      <c r="K242" s="339">
        <f t="shared" si="40"/>
        <v>3436</v>
      </c>
      <c r="L242" s="372"/>
      <c r="M242" s="372"/>
      <c r="N242" s="372"/>
    </row>
    <row r="243" spans="1:14" s="373" customFormat="1" ht="25.5" hidden="1" outlineLevel="2" x14ac:dyDescent="0.2">
      <c r="A243" s="208" t="s">
        <v>1155</v>
      </c>
      <c r="B243" s="100" t="s">
        <v>360</v>
      </c>
      <c r="C243" s="100" t="s">
        <v>358</v>
      </c>
      <c r="D243" s="157" t="s">
        <v>363</v>
      </c>
      <c r="E243" s="277">
        <v>27</v>
      </c>
      <c r="F243" s="277">
        <f>(27/63*(286+5408)+740)*(1.023*1.005-2.3%*15%)*6.99</f>
        <v>22779</v>
      </c>
      <c r="G243" s="299">
        <f t="shared" si="42"/>
        <v>1.0960000000000001</v>
      </c>
      <c r="H243" s="339">
        <f t="shared" si="41"/>
        <v>24966</v>
      </c>
      <c r="I243" s="299">
        <f>Дефляторы!$D$125</f>
        <v>1.0429999999999999</v>
      </c>
      <c r="J243" s="339">
        <f t="shared" si="39"/>
        <v>26040</v>
      </c>
      <c r="K243" s="339">
        <f t="shared" si="40"/>
        <v>25718</v>
      </c>
      <c r="L243" s="372"/>
      <c r="M243" s="372"/>
      <c r="N243" s="372"/>
    </row>
    <row r="244" spans="1:14" s="373" customFormat="1" ht="25.5" hidden="1" outlineLevel="2" x14ac:dyDescent="0.2">
      <c r="A244" s="208" t="s">
        <v>1156</v>
      </c>
      <c r="B244" s="100" t="s">
        <v>361</v>
      </c>
      <c r="C244" s="100" t="s">
        <v>359</v>
      </c>
      <c r="D244" s="157" t="s">
        <v>363</v>
      </c>
      <c r="E244" s="277">
        <v>36</v>
      </c>
      <c r="F244" s="277">
        <f>(36/63*(286+5408)+1736)*(1.023*1.005-2.3%*15%)*6.99</f>
        <v>35738</v>
      </c>
      <c r="G244" s="299">
        <f t="shared" si="42"/>
        <v>1.0960000000000001</v>
      </c>
      <c r="H244" s="339">
        <f t="shared" si="41"/>
        <v>39169</v>
      </c>
      <c r="I244" s="299">
        <f>Дефляторы!$D$125</f>
        <v>1.0429999999999999</v>
      </c>
      <c r="J244" s="339">
        <f t="shared" si="39"/>
        <v>40853</v>
      </c>
      <c r="K244" s="339">
        <f t="shared" si="40"/>
        <v>40348</v>
      </c>
      <c r="L244" s="372"/>
      <c r="M244" s="372"/>
      <c r="N244" s="372"/>
    </row>
    <row r="245" spans="1:14" s="373" customFormat="1" ht="15.75" hidden="1" outlineLevel="2" x14ac:dyDescent="0.2">
      <c r="A245" s="208"/>
      <c r="B245" s="100"/>
      <c r="C245" s="267" t="s">
        <v>364</v>
      </c>
      <c r="D245" s="157"/>
      <c r="E245" s="277"/>
      <c r="F245" s="277"/>
      <c r="G245" s="299"/>
      <c r="H245" s="339"/>
      <c r="I245" s="299">
        <f>Дефляторы!$D$125</f>
        <v>1.0429999999999999</v>
      </c>
      <c r="J245" s="339">
        <f t="shared" si="39"/>
        <v>0</v>
      </c>
      <c r="K245" s="339">
        <f t="shared" si="40"/>
        <v>0</v>
      </c>
      <c r="L245" s="372"/>
      <c r="M245" s="372"/>
      <c r="N245" s="372"/>
    </row>
    <row r="246" spans="1:14" s="373" customFormat="1" ht="25.5" hidden="1" outlineLevel="2" x14ac:dyDescent="0.2">
      <c r="A246" s="208" t="s">
        <v>1157</v>
      </c>
      <c r="B246" s="100" t="s">
        <v>365</v>
      </c>
      <c r="C246" s="100" t="s">
        <v>764</v>
      </c>
      <c r="D246" s="157" t="s">
        <v>363</v>
      </c>
      <c r="E246" s="277">
        <v>60</v>
      </c>
      <c r="F246" s="277">
        <f>(961+31107)*(1.023*1.005-2.3%*15%)*6.99</f>
        <v>229684</v>
      </c>
      <c r="G246" s="299">
        <f>$G$327</f>
        <v>1.0960000000000001</v>
      </c>
      <c r="H246" s="339">
        <f t="shared" si="41"/>
        <v>251734</v>
      </c>
      <c r="I246" s="299">
        <f>Дефляторы!$D$125</f>
        <v>1.0429999999999999</v>
      </c>
      <c r="J246" s="339">
        <f t="shared" si="39"/>
        <v>262559</v>
      </c>
      <c r="K246" s="339">
        <f t="shared" si="40"/>
        <v>259312</v>
      </c>
      <c r="L246" s="372"/>
      <c r="M246" s="372"/>
      <c r="N246" s="372"/>
    </row>
    <row r="247" spans="1:14" s="373" customFormat="1" ht="25.5" hidden="1" outlineLevel="2" x14ac:dyDescent="0.2">
      <c r="A247" s="208" t="s">
        <v>1158</v>
      </c>
      <c r="B247" s="100" t="s">
        <v>366</v>
      </c>
      <c r="C247" s="100" t="s">
        <v>765</v>
      </c>
      <c r="D247" s="157" t="s">
        <v>363</v>
      </c>
      <c r="E247" s="277">
        <v>100</v>
      </c>
      <c r="F247" s="277">
        <f>(1032+17141)*(1.023*1.005-2.3%*15%)*6.99</f>
        <v>130162</v>
      </c>
      <c r="G247" s="299">
        <f>$G$327</f>
        <v>1.0960000000000001</v>
      </c>
      <c r="H247" s="339">
        <f t="shared" si="41"/>
        <v>142658</v>
      </c>
      <c r="I247" s="299">
        <f>Дефляторы!$D$125</f>
        <v>1.0429999999999999</v>
      </c>
      <c r="J247" s="339">
        <f t="shared" si="39"/>
        <v>148792</v>
      </c>
      <c r="K247" s="339">
        <f t="shared" si="40"/>
        <v>146952</v>
      </c>
      <c r="L247" s="372"/>
      <c r="M247" s="372"/>
      <c r="N247" s="372"/>
    </row>
    <row r="248" spans="1:14" s="373" customFormat="1" ht="25.5" hidden="1" outlineLevel="2" x14ac:dyDescent="0.2">
      <c r="A248" s="208" t="s">
        <v>1159</v>
      </c>
      <c r="B248" s="100" t="s">
        <v>368</v>
      </c>
      <c r="C248" s="100" t="s">
        <v>367</v>
      </c>
      <c r="D248" s="157" t="s">
        <v>363</v>
      </c>
      <c r="E248" s="277">
        <v>220</v>
      </c>
      <c r="F248" s="277">
        <f>(3541+7009)*(1.023*1.005-2.3%*15%)*6.99</f>
        <v>75563</v>
      </c>
      <c r="G248" s="299">
        <f>$G$327</f>
        <v>1.0960000000000001</v>
      </c>
      <c r="H248" s="339">
        <f t="shared" si="41"/>
        <v>82817</v>
      </c>
      <c r="I248" s="299">
        <f>Дефляторы!$D$125</f>
        <v>1.0429999999999999</v>
      </c>
      <c r="J248" s="339">
        <f t="shared" si="39"/>
        <v>86378</v>
      </c>
      <c r="K248" s="339">
        <f t="shared" si="40"/>
        <v>85310</v>
      </c>
      <c r="L248" s="372"/>
      <c r="M248" s="372"/>
      <c r="N248" s="372"/>
    </row>
    <row r="249" spans="1:14" s="362" customFormat="1" ht="15.75" outlineLevel="1" collapsed="1" x14ac:dyDescent="0.2">
      <c r="A249" s="282" t="s">
        <v>932</v>
      </c>
      <c r="B249" s="283"/>
      <c r="C249" s="283" t="s">
        <v>985</v>
      </c>
      <c r="D249" s="359" t="s">
        <v>250</v>
      </c>
      <c r="E249" s="154">
        <v>1</v>
      </c>
      <c r="F249" s="154">
        <f>SUM(F252:F263)</f>
        <v>2617501</v>
      </c>
      <c r="G249" s="296">
        <f>$G$327</f>
        <v>1.0960000000000001</v>
      </c>
      <c r="H249" s="337">
        <f>SUM(H252:H263)</f>
        <v>2868780</v>
      </c>
      <c r="I249" s="296">
        <f>Дефляторы!$D$134</f>
        <v>1.0429999999999999</v>
      </c>
      <c r="J249" s="337">
        <f>SUM(J252:J263)</f>
        <v>2992139</v>
      </c>
      <c r="K249" s="337">
        <f>SUM(K252:K263)</f>
        <v>2955131</v>
      </c>
      <c r="L249" s="360"/>
      <c r="M249" s="360"/>
      <c r="N249" s="360"/>
    </row>
    <row r="250" spans="1:14" s="373" customFormat="1" ht="15.75" hidden="1" outlineLevel="2" x14ac:dyDescent="0.2">
      <c r="A250" s="208"/>
      <c r="B250" s="100"/>
      <c r="C250" s="267" t="s">
        <v>1003</v>
      </c>
      <c r="D250" s="157"/>
      <c r="E250" s="277"/>
      <c r="F250" s="277"/>
      <c r="G250" s="299"/>
      <c r="H250" s="339"/>
      <c r="I250" s="299">
        <f>Дефляторы!$D$134</f>
        <v>1.0429999999999999</v>
      </c>
      <c r="J250" s="339"/>
      <c r="K250" s="339"/>
      <c r="L250" s="372"/>
      <c r="M250" s="372"/>
      <c r="N250" s="372"/>
    </row>
    <row r="251" spans="1:14" s="373" customFormat="1" ht="15.75" hidden="1" outlineLevel="2" x14ac:dyDescent="0.2">
      <c r="A251" s="208"/>
      <c r="B251" s="100"/>
      <c r="C251" s="267" t="s">
        <v>279</v>
      </c>
      <c r="D251" s="157"/>
      <c r="E251" s="277"/>
      <c r="F251" s="277"/>
      <c r="G251" s="299"/>
      <c r="H251" s="339"/>
      <c r="I251" s="299">
        <f>Дефляторы!$D$134</f>
        <v>1.0429999999999999</v>
      </c>
      <c r="J251" s="339"/>
      <c r="K251" s="339"/>
      <c r="L251" s="372"/>
      <c r="M251" s="372"/>
      <c r="N251" s="372"/>
    </row>
    <row r="252" spans="1:14" s="373" customFormat="1" ht="25.5" hidden="1" outlineLevel="2" x14ac:dyDescent="0.2">
      <c r="A252" s="208" t="s">
        <v>933</v>
      </c>
      <c r="B252" s="100" t="s">
        <v>643</v>
      </c>
      <c r="C252" s="100" t="s">
        <v>265</v>
      </c>
      <c r="D252" s="157" t="s">
        <v>262</v>
      </c>
      <c r="E252" s="157">
        <f>79.93</f>
        <v>79.930000000000007</v>
      </c>
      <c r="F252" s="277">
        <f>15939*(1.023*1.005-2.3%*15%)*6.99-35</f>
        <v>114127</v>
      </c>
      <c r="G252" s="299">
        <f>$G$327</f>
        <v>1.0960000000000001</v>
      </c>
      <c r="H252" s="339">
        <f t="shared" si="41"/>
        <v>125083</v>
      </c>
      <c r="I252" s="299">
        <f>Дефляторы!$D$134</f>
        <v>1.0429999999999999</v>
      </c>
      <c r="J252" s="339">
        <f t="shared" ref="J252:J302" si="43">H252*I252</f>
        <v>130462</v>
      </c>
      <c r="K252" s="339">
        <f t="shared" ref="K252:K302" si="44">H252+(J252-H252)*(1-30/100)</f>
        <v>128848</v>
      </c>
      <c r="L252" s="375" t="s">
        <v>647</v>
      </c>
      <c r="M252" s="372"/>
      <c r="N252" s="372"/>
    </row>
    <row r="253" spans="1:14" s="373" customFormat="1" ht="63.75" hidden="1" outlineLevel="2" x14ac:dyDescent="0.2">
      <c r="A253" s="208" t="s">
        <v>934</v>
      </c>
      <c r="B253" s="100" t="s">
        <v>645</v>
      </c>
      <c r="C253" s="100" t="s">
        <v>644</v>
      </c>
      <c r="D253" s="157" t="s">
        <v>262</v>
      </c>
      <c r="E253" s="157">
        <f>51.73+25.2</f>
        <v>76.930000000000007</v>
      </c>
      <c r="F253" s="277">
        <f>(898+566+2050+788+1655+47)*(1.023*1.005-2.3%*15%)*6.99</f>
        <v>43003</v>
      </c>
      <c r="G253" s="299">
        <f>$G$327</f>
        <v>1.0960000000000001</v>
      </c>
      <c r="H253" s="339">
        <f t="shared" si="41"/>
        <v>47131</v>
      </c>
      <c r="I253" s="299">
        <f>Дефляторы!$D$134</f>
        <v>1.0429999999999999</v>
      </c>
      <c r="J253" s="339">
        <f t="shared" si="43"/>
        <v>49158</v>
      </c>
      <c r="K253" s="339">
        <f t="shared" si="44"/>
        <v>48550</v>
      </c>
      <c r="L253" s="375" t="s">
        <v>646</v>
      </c>
      <c r="M253" s="372"/>
      <c r="N253" s="372"/>
    </row>
    <row r="254" spans="1:14" s="373" customFormat="1" ht="15.75" hidden="1" outlineLevel="2" x14ac:dyDescent="0.2">
      <c r="A254" s="208" t="s">
        <v>935</v>
      </c>
      <c r="B254" s="100" t="s">
        <v>648</v>
      </c>
      <c r="C254" s="100" t="s">
        <v>343</v>
      </c>
      <c r="D254" s="157" t="s">
        <v>262</v>
      </c>
      <c r="E254" s="157">
        <f>51.73</f>
        <v>51.73</v>
      </c>
      <c r="F254" s="277">
        <f>(156+544)*(1.023*1.005-2.3%*15%)*6.99</f>
        <v>5014</v>
      </c>
      <c r="G254" s="299">
        <f>$G$327</f>
        <v>1.0960000000000001</v>
      </c>
      <c r="H254" s="339">
        <f t="shared" si="41"/>
        <v>5495</v>
      </c>
      <c r="I254" s="299">
        <f>Дефляторы!$D$134</f>
        <v>1.0429999999999999</v>
      </c>
      <c r="J254" s="339">
        <f t="shared" si="43"/>
        <v>5731</v>
      </c>
      <c r="K254" s="339">
        <f t="shared" si="44"/>
        <v>5660</v>
      </c>
      <c r="L254" s="401"/>
      <c r="M254" s="372"/>
      <c r="N254" s="372"/>
    </row>
    <row r="255" spans="1:14" s="373" customFormat="1" ht="25.5" hidden="1" outlineLevel="2" x14ac:dyDescent="0.2">
      <c r="A255" s="208" t="s">
        <v>936</v>
      </c>
      <c r="B255" s="100" t="s">
        <v>651</v>
      </c>
      <c r="C255" s="100" t="s">
        <v>649</v>
      </c>
      <c r="D255" s="157" t="s">
        <v>363</v>
      </c>
      <c r="E255" s="277">
        <v>210</v>
      </c>
      <c r="F255" s="277">
        <f>(953+1532+101380)*(1.023*1.005-2.3%*15%)*6.99</f>
        <v>743924</v>
      </c>
      <c r="G255" s="299">
        <f>$G$327</f>
        <v>1.0960000000000001</v>
      </c>
      <c r="H255" s="339">
        <f t="shared" si="41"/>
        <v>815341</v>
      </c>
      <c r="I255" s="299">
        <f>Дефляторы!$D$134</f>
        <v>1.0429999999999999</v>
      </c>
      <c r="J255" s="339">
        <f t="shared" si="43"/>
        <v>850401</v>
      </c>
      <c r="K255" s="339">
        <f t="shared" si="44"/>
        <v>839883</v>
      </c>
      <c r="L255" s="375" t="s">
        <v>650</v>
      </c>
      <c r="M255" s="372"/>
      <c r="N255" s="372"/>
    </row>
    <row r="256" spans="1:14" s="373" customFormat="1" ht="15.75" hidden="1" outlineLevel="2" x14ac:dyDescent="0.2">
      <c r="A256" s="208" t="s">
        <v>937</v>
      </c>
      <c r="B256" s="100" t="s">
        <v>652</v>
      </c>
      <c r="C256" s="100" t="s">
        <v>364</v>
      </c>
      <c r="D256" s="157" t="s">
        <v>250</v>
      </c>
      <c r="E256" s="277">
        <v>1</v>
      </c>
      <c r="F256" s="277">
        <f>(2633+104612)*(1.023*1.005-2.3%*15%)*6.99+15203*4.09</f>
        <v>830313</v>
      </c>
      <c r="G256" s="299">
        <f>$G$327</f>
        <v>1.0960000000000001</v>
      </c>
      <c r="H256" s="339">
        <f t="shared" si="41"/>
        <v>910023</v>
      </c>
      <c r="I256" s="299">
        <f>Дефляторы!$D$134</f>
        <v>1.0429999999999999</v>
      </c>
      <c r="J256" s="339">
        <f t="shared" si="43"/>
        <v>949154</v>
      </c>
      <c r="K256" s="339">
        <f t="shared" si="44"/>
        <v>937415</v>
      </c>
      <c r="L256" s="372"/>
      <c r="M256" s="372"/>
      <c r="N256" s="372"/>
    </row>
    <row r="257" spans="1:14" s="373" customFormat="1" ht="15.75" hidden="1" outlineLevel="2" x14ac:dyDescent="0.2">
      <c r="A257" s="208"/>
      <c r="B257" s="100"/>
      <c r="C257" s="267" t="s">
        <v>1004</v>
      </c>
      <c r="D257" s="157"/>
      <c r="E257" s="277"/>
      <c r="F257" s="277"/>
      <c r="G257" s="299"/>
      <c r="H257" s="339"/>
      <c r="I257" s="299">
        <f>Дефляторы!$D$134</f>
        <v>1.0429999999999999</v>
      </c>
      <c r="J257" s="339">
        <f t="shared" si="43"/>
        <v>0</v>
      </c>
      <c r="K257" s="339">
        <f t="shared" si="44"/>
        <v>0</v>
      </c>
      <c r="L257" s="372"/>
      <c r="M257" s="372"/>
      <c r="N257" s="372"/>
    </row>
    <row r="258" spans="1:14" s="373" customFormat="1" ht="15.75" hidden="1" outlineLevel="2" x14ac:dyDescent="0.2">
      <c r="A258" s="208"/>
      <c r="B258" s="100"/>
      <c r="C258" s="267" t="s">
        <v>279</v>
      </c>
      <c r="D258" s="157"/>
      <c r="E258" s="277"/>
      <c r="F258" s="277"/>
      <c r="G258" s="299"/>
      <c r="H258" s="339"/>
      <c r="I258" s="299">
        <f>Дефляторы!$D$134</f>
        <v>1.0429999999999999</v>
      </c>
      <c r="J258" s="339">
        <f t="shared" si="43"/>
        <v>0</v>
      </c>
      <c r="K258" s="339">
        <f t="shared" si="44"/>
        <v>0</v>
      </c>
      <c r="L258" s="372"/>
      <c r="M258" s="372"/>
      <c r="N258" s="372"/>
    </row>
    <row r="259" spans="1:14" s="373" customFormat="1" ht="25.5" hidden="1" outlineLevel="2" x14ac:dyDescent="0.2">
      <c r="A259" s="208" t="s">
        <v>938</v>
      </c>
      <c r="B259" s="100" t="s">
        <v>653</v>
      </c>
      <c r="C259" s="100" t="s">
        <v>265</v>
      </c>
      <c r="D259" s="157" t="s">
        <v>262</v>
      </c>
      <c r="E259" s="157">
        <f>47.26</f>
        <v>47.26</v>
      </c>
      <c r="F259" s="277">
        <f>9424*(1.023*1.005-2.3%*15%)*6.99+14</f>
        <v>67513</v>
      </c>
      <c r="G259" s="299">
        <f t="shared" ref="G259:G294" si="45">$G$327</f>
        <v>1.0960000000000001</v>
      </c>
      <c r="H259" s="339">
        <f t="shared" si="41"/>
        <v>73994</v>
      </c>
      <c r="I259" s="299">
        <f>Дефляторы!$D$134</f>
        <v>1.0429999999999999</v>
      </c>
      <c r="J259" s="339">
        <f t="shared" si="43"/>
        <v>77176</v>
      </c>
      <c r="K259" s="339">
        <f t="shared" si="44"/>
        <v>76221</v>
      </c>
      <c r="L259" s="372"/>
      <c r="M259" s="372"/>
      <c r="N259" s="372"/>
    </row>
    <row r="260" spans="1:14" s="373" customFormat="1" ht="63.75" hidden="1" outlineLevel="2" x14ac:dyDescent="0.2">
      <c r="A260" s="208" t="s">
        <v>939</v>
      </c>
      <c r="B260" s="100" t="s">
        <v>655</v>
      </c>
      <c r="C260" s="100" t="s">
        <v>654</v>
      </c>
      <c r="D260" s="157" t="s">
        <v>262</v>
      </c>
      <c r="E260" s="157">
        <f>31.78+15.48</f>
        <v>47.26</v>
      </c>
      <c r="F260" s="277">
        <f>(552+348+1260+484+1017+29)*(1.023*1.005-2.3%*15%)*6.99</f>
        <v>26429</v>
      </c>
      <c r="G260" s="299">
        <f t="shared" si="45"/>
        <v>1.0960000000000001</v>
      </c>
      <c r="H260" s="339">
        <f t="shared" si="41"/>
        <v>28966</v>
      </c>
      <c r="I260" s="299">
        <f>Дефляторы!$D$134</f>
        <v>1.0429999999999999</v>
      </c>
      <c r="J260" s="339">
        <f t="shared" si="43"/>
        <v>30212</v>
      </c>
      <c r="K260" s="339">
        <f t="shared" si="44"/>
        <v>29838</v>
      </c>
      <c r="L260" s="375" t="s">
        <v>646</v>
      </c>
      <c r="M260" s="372"/>
      <c r="N260" s="372"/>
    </row>
    <row r="261" spans="1:14" s="373" customFormat="1" ht="15.75" hidden="1" outlineLevel="2" x14ac:dyDescent="0.2">
      <c r="A261" s="208" t="s">
        <v>940</v>
      </c>
      <c r="B261" s="100" t="s">
        <v>656</v>
      </c>
      <c r="C261" s="100" t="s">
        <v>343</v>
      </c>
      <c r="D261" s="157" t="s">
        <v>262</v>
      </c>
      <c r="E261" s="157">
        <f>31.78</f>
        <v>31.78</v>
      </c>
      <c r="F261" s="277">
        <f>(96+333)*(1.023*1.005-2.3%*15%)*6.99</f>
        <v>3073</v>
      </c>
      <c r="G261" s="299">
        <f t="shared" si="45"/>
        <v>1.0960000000000001</v>
      </c>
      <c r="H261" s="339">
        <f t="shared" si="41"/>
        <v>3368</v>
      </c>
      <c r="I261" s="299">
        <f>Дефляторы!$D$134</f>
        <v>1.0429999999999999</v>
      </c>
      <c r="J261" s="339">
        <f t="shared" si="43"/>
        <v>3513</v>
      </c>
      <c r="K261" s="339">
        <f t="shared" si="44"/>
        <v>3470</v>
      </c>
      <c r="L261" s="372"/>
      <c r="M261" s="372"/>
      <c r="N261" s="372"/>
    </row>
    <row r="262" spans="1:14" s="373" customFormat="1" ht="63.75" hidden="1" outlineLevel="2" x14ac:dyDescent="0.2">
      <c r="A262" s="208" t="s">
        <v>941</v>
      </c>
      <c r="B262" s="100" t="s">
        <v>658</v>
      </c>
      <c r="C262" s="100" t="s">
        <v>657</v>
      </c>
      <c r="D262" s="157" t="s">
        <v>363</v>
      </c>
      <c r="E262" s="277">
        <v>258</v>
      </c>
      <c r="F262" s="277">
        <f>(1171+941+59542)*(1.023*1.005-2.3%*15%)*6.99</f>
        <v>441591</v>
      </c>
      <c r="G262" s="299">
        <f t="shared" si="45"/>
        <v>1.0960000000000001</v>
      </c>
      <c r="H262" s="339">
        <f t="shared" si="41"/>
        <v>483984</v>
      </c>
      <c r="I262" s="299">
        <f>Дефляторы!$D$134</f>
        <v>1.0429999999999999</v>
      </c>
      <c r="J262" s="339">
        <f t="shared" si="43"/>
        <v>504795</v>
      </c>
      <c r="K262" s="339">
        <f t="shared" si="44"/>
        <v>498552</v>
      </c>
      <c r="L262" s="375" t="s">
        <v>1332</v>
      </c>
      <c r="M262" s="372"/>
      <c r="N262" s="372"/>
    </row>
    <row r="263" spans="1:14" s="373" customFormat="1" ht="15.75" hidden="1" outlineLevel="2" x14ac:dyDescent="0.2">
      <c r="A263" s="208" t="s">
        <v>942</v>
      </c>
      <c r="B263" s="100" t="s">
        <v>659</v>
      </c>
      <c r="C263" s="100" t="s">
        <v>364</v>
      </c>
      <c r="D263" s="157" t="s">
        <v>250</v>
      </c>
      <c r="E263" s="277">
        <v>1</v>
      </c>
      <c r="F263" s="277">
        <f>(47821)*(1.023*1.005-2.3%*15%)*6.99</f>
        <v>342514</v>
      </c>
      <c r="G263" s="299">
        <f t="shared" si="45"/>
        <v>1.0960000000000001</v>
      </c>
      <c r="H263" s="339">
        <f t="shared" si="41"/>
        <v>375395</v>
      </c>
      <c r="I263" s="299">
        <f>Дефляторы!$D$134</f>
        <v>1.0429999999999999</v>
      </c>
      <c r="J263" s="339">
        <f t="shared" si="43"/>
        <v>391537</v>
      </c>
      <c r="K263" s="339">
        <f t="shared" si="44"/>
        <v>386694</v>
      </c>
      <c r="L263" s="372"/>
      <c r="M263" s="372"/>
      <c r="N263" s="372"/>
    </row>
    <row r="264" spans="1:14" s="362" customFormat="1" ht="15.75" outlineLevel="1" collapsed="1" x14ac:dyDescent="0.2">
      <c r="A264" s="282" t="s">
        <v>944</v>
      </c>
      <c r="B264" s="283" t="s">
        <v>40</v>
      </c>
      <c r="C264" s="283" t="s">
        <v>102</v>
      </c>
      <c r="D264" s="359" t="s">
        <v>250</v>
      </c>
      <c r="E264" s="154">
        <v>1</v>
      </c>
      <c r="F264" s="154">
        <f>(3694+48016)*(1.023*1.005-2.3%*15%)*6.99+4950*4.09-7</f>
        <v>390607</v>
      </c>
      <c r="G264" s="296">
        <f t="shared" si="45"/>
        <v>1.0960000000000001</v>
      </c>
      <c r="H264" s="337">
        <f t="shared" si="41"/>
        <v>428105</v>
      </c>
      <c r="I264" s="296">
        <f>Дефляторы!$D$143</f>
        <v>1.0429999999999999</v>
      </c>
      <c r="J264" s="337">
        <f t="shared" si="43"/>
        <v>446514</v>
      </c>
      <c r="K264" s="337">
        <f t="shared" si="44"/>
        <v>440991</v>
      </c>
      <c r="L264" s="360"/>
      <c r="M264" s="360"/>
      <c r="N264" s="360"/>
    </row>
    <row r="265" spans="1:14" s="362" customFormat="1" ht="15.75" outlineLevel="1" x14ac:dyDescent="0.2">
      <c r="A265" s="282" t="s">
        <v>945</v>
      </c>
      <c r="B265" s="283"/>
      <c r="C265" s="283" t="s">
        <v>986</v>
      </c>
      <c r="D265" s="359" t="s">
        <v>250</v>
      </c>
      <c r="E265" s="154">
        <v>1</v>
      </c>
      <c r="F265" s="154">
        <f>SUM(F266:F288)</f>
        <v>1127740</v>
      </c>
      <c r="G265" s="296">
        <f t="shared" si="45"/>
        <v>1.0960000000000001</v>
      </c>
      <c r="H265" s="337">
        <f>SUM(H266:H288)</f>
        <v>1236005</v>
      </c>
      <c r="I265" s="296">
        <f>Дефляторы!$D$152</f>
        <v>1.0429999999999999</v>
      </c>
      <c r="J265" s="337">
        <f>SUM(J266:J288)</f>
        <v>1289152</v>
      </c>
      <c r="K265" s="337">
        <f>SUM(K266:K288)</f>
        <v>1273208</v>
      </c>
      <c r="L265" s="360"/>
      <c r="M265" s="360"/>
      <c r="N265" s="360"/>
    </row>
    <row r="266" spans="1:14" s="373" customFormat="1" ht="15.75" hidden="1" outlineLevel="2" x14ac:dyDescent="0.2">
      <c r="A266" s="208" t="s">
        <v>1160</v>
      </c>
      <c r="B266" s="100" t="s">
        <v>370</v>
      </c>
      <c r="C266" s="100" t="s">
        <v>369</v>
      </c>
      <c r="D266" s="157" t="s">
        <v>305</v>
      </c>
      <c r="E266" s="277">
        <v>4</v>
      </c>
      <c r="F266" s="277">
        <f>(1856)*(1.023*1.005-2.3%*15%)*6.99+36610*4.09</f>
        <v>163028</v>
      </c>
      <c r="G266" s="299">
        <f t="shared" si="45"/>
        <v>1.0960000000000001</v>
      </c>
      <c r="H266" s="339">
        <f t="shared" si="41"/>
        <v>178679</v>
      </c>
      <c r="I266" s="299">
        <f>Дефляторы!$D$152</f>
        <v>1.0429999999999999</v>
      </c>
      <c r="J266" s="339">
        <f t="shared" si="43"/>
        <v>186362</v>
      </c>
      <c r="K266" s="339">
        <f t="shared" si="44"/>
        <v>184057</v>
      </c>
      <c r="L266" s="372"/>
      <c r="M266" s="372"/>
      <c r="N266" s="372"/>
    </row>
    <row r="267" spans="1:14" s="373" customFormat="1" ht="25.5" hidden="1" outlineLevel="2" x14ac:dyDescent="0.2">
      <c r="A267" s="208" t="s">
        <v>1161</v>
      </c>
      <c r="B267" s="100" t="s">
        <v>372</v>
      </c>
      <c r="C267" s="100" t="s">
        <v>371</v>
      </c>
      <c r="D267" s="157" t="s">
        <v>305</v>
      </c>
      <c r="E267" s="277">
        <v>8</v>
      </c>
      <c r="F267" s="277">
        <f>(2270)*(1.023*1.005-2.3%*15%)*6.99+32309*4.09</f>
        <v>148402</v>
      </c>
      <c r="G267" s="299">
        <f t="shared" si="45"/>
        <v>1.0960000000000001</v>
      </c>
      <c r="H267" s="339">
        <f t="shared" si="41"/>
        <v>162649</v>
      </c>
      <c r="I267" s="299">
        <f>Дефляторы!$D$152</f>
        <v>1.0429999999999999</v>
      </c>
      <c r="J267" s="339">
        <f t="shared" si="43"/>
        <v>169643</v>
      </c>
      <c r="K267" s="339">
        <f t="shared" si="44"/>
        <v>167545</v>
      </c>
      <c r="L267" s="372"/>
      <c r="M267" s="372"/>
      <c r="N267" s="372"/>
    </row>
    <row r="268" spans="1:14" s="373" customFormat="1" ht="15.75" hidden="1" outlineLevel="2" x14ac:dyDescent="0.2">
      <c r="A268" s="208" t="s">
        <v>1162</v>
      </c>
      <c r="B268" s="100" t="s">
        <v>374</v>
      </c>
      <c r="C268" s="100" t="s">
        <v>373</v>
      </c>
      <c r="D268" s="157" t="s">
        <v>305</v>
      </c>
      <c r="E268" s="277">
        <v>4</v>
      </c>
      <c r="F268" s="277">
        <f>(123)*(1.023*1.005-2.3%*15%)*6.99+416*4.09</f>
        <v>2582</v>
      </c>
      <c r="G268" s="299">
        <f t="shared" si="45"/>
        <v>1.0960000000000001</v>
      </c>
      <c r="H268" s="339">
        <f t="shared" si="41"/>
        <v>2830</v>
      </c>
      <c r="I268" s="299">
        <f>Дефляторы!$D$152</f>
        <v>1.0429999999999999</v>
      </c>
      <c r="J268" s="339">
        <f t="shared" si="43"/>
        <v>2952</v>
      </c>
      <c r="K268" s="339">
        <f t="shared" si="44"/>
        <v>2915</v>
      </c>
      <c r="L268" s="372"/>
      <c r="M268" s="372"/>
      <c r="N268" s="372"/>
    </row>
    <row r="269" spans="1:14" s="373" customFormat="1" ht="25.5" hidden="1" outlineLevel="2" x14ac:dyDescent="0.2">
      <c r="A269" s="208" t="s">
        <v>1163</v>
      </c>
      <c r="B269" s="100" t="s">
        <v>376</v>
      </c>
      <c r="C269" s="100" t="s">
        <v>375</v>
      </c>
      <c r="D269" s="157" t="s">
        <v>305</v>
      </c>
      <c r="E269" s="277">
        <v>4</v>
      </c>
      <c r="F269" s="277">
        <f>(1078)*(1.023*1.005-2.3%*15%)*6.99+1940*4.09</f>
        <v>15656</v>
      </c>
      <c r="G269" s="299">
        <f t="shared" si="45"/>
        <v>1.0960000000000001</v>
      </c>
      <c r="H269" s="339">
        <f t="shared" si="41"/>
        <v>17159</v>
      </c>
      <c r="I269" s="299">
        <f>Дефляторы!$D$152</f>
        <v>1.0429999999999999</v>
      </c>
      <c r="J269" s="339">
        <f t="shared" si="43"/>
        <v>17897</v>
      </c>
      <c r="K269" s="339">
        <f t="shared" si="44"/>
        <v>17676</v>
      </c>
      <c r="L269" s="372"/>
      <c r="M269" s="372"/>
      <c r="N269" s="372"/>
    </row>
    <row r="270" spans="1:14" s="373" customFormat="1" ht="25.5" hidden="1" outlineLevel="2" x14ac:dyDescent="0.2">
      <c r="A270" s="208" t="s">
        <v>1164</v>
      </c>
      <c r="B270" s="100" t="s">
        <v>378</v>
      </c>
      <c r="C270" s="100" t="s">
        <v>377</v>
      </c>
      <c r="D270" s="157" t="s">
        <v>305</v>
      </c>
      <c r="E270" s="277">
        <v>4</v>
      </c>
      <c r="F270" s="277">
        <f>(190)*(1.023*1.005-2.3%*15%)*6.99+1545*4.09</f>
        <v>7680</v>
      </c>
      <c r="G270" s="299">
        <f t="shared" si="45"/>
        <v>1.0960000000000001</v>
      </c>
      <c r="H270" s="339">
        <f t="shared" si="41"/>
        <v>8417</v>
      </c>
      <c r="I270" s="299">
        <f>Дефляторы!$D$152</f>
        <v>1.0429999999999999</v>
      </c>
      <c r="J270" s="339">
        <f t="shared" si="43"/>
        <v>8779</v>
      </c>
      <c r="K270" s="339">
        <f t="shared" si="44"/>
        <v>8670</v>
      </c>
      <c r="L270" s="372"/>
      <c r="M270" s="372"/>
      <c r="N270" s="372"/>
    </row>
    <row r="271" spans="1:14" s="373" customFormat="1" ht="25.5" hidden="1" outlineLevel="2" x14ac:dyDescent="0.2">
      <c r="A271" s="208" t="s">
        <v>1165</v>
      </c>
      <c r="B271" s="100" t="s">
        <v>380</v>
      </c>
      <c r="C271" s="100" t="s">
        <v>379</v>
      </c>
      <c r="D271" s="157" t="s">
        <v>305</v>
      </c>
      <c r="E271" s="277">
        <v>8</v>
      </c>
      <c r="F271" s="277">
        <f>(2771+7102)*(1.023*1.005-2.3%*15%)*6.99+0*4.09</f>
        <v>70714</v>
      </c>
      <c r="G271" s="299">
        <f t="shared" si="45"/>
        <v>1.0960000000000001</v>
      </c>
      <c r="H271" s="339">
        <f t="shared" si="41"/>
        <v>77503</v>
      </c>
      <c r="I271" s="299">
        <f>Дефляторы!$D$152</f>
        <v>1.0429999999999999</v>
      </c>
      <c r="J271" s="339">
        <f t="shared" si="43"/>
        <v>80836</v>
      </c>
      <c r="K271" s="339">
        <f t="shared" si="44"/>
        <v>79836</v>
      </c>
      <c r="L271" s="372"/>
      <c r="M271" s="372"/>
      <c r="N271" s="372"/>
    </row>
    <row r="272" spans="1:14" s="373" customFormat="1" ht="25.5" hidden="1" outlineLevel="2" x14ac:dyDescent="0.2">
      <c r="A272" s="208" t="s">
        <v>1166</v>
      </c>
      <c r="B272" s="100" t="s">
        <v>382</v>
      </c>
      <c r="C272" s="100" t="s">
        <v>381</v>
      </c>
      <c r="D272" s="157" t="s">
        <v>305</v>
      </c>
      <c r="E272" s="277">
        <v>12</v>
      </c>
      <c r="F272" s="277">
        <f>(1270)*(1.023*1.005-2.3%*15%)*6.99+58591*4.09+9</f>
        <v>248742</v>
      </c>
      <c r="G272" s="299">
        <f t="shared" si="45"/>
        <v>1.0960000000000001</v>
      </c>
      <c r="H272" s="339">
        <f t="shared" si="41"/>
        <v>272621</v>
      </c>
      <c r="I272" s="299">
        <f>Дефляторы!$D$152</f>
        <v>1.0429999999999999</v>
      </c>
      <c r="J272" s="339">
        <f t="shared" si="43"/>
        <v>284344</v>
      </c>
      <c r="K272" s="339">
        <f t="shared" si="44"/>
        <v>280827</v>
      </c>
      <c r="L272" s="372"/>
      <c r="M272" s="372"/>
      <c r="N272" s="372"/>
    </row>
    <row r="273" spans="1:14" s="373" customFormat="1" ht="15.75" hidden="1" outlineLevel="2" x14ac:dyDescent="0.2">
      <c r="A273" s="208" t="s">
        <v>1167</v>
      </c>
      <c r="B273" s="100" t="s">
        <v>386</v>
      </c>
      <c r="C273" s="100" t="s">
        <v>383</v>
      </c>
      <c r="D273" s="157" t="s">
        <v>305</v>
      </c>
      <c r="E273" s="277">
        <v>4</v>
      </c>
      <c r="F273" s="277">
        <f>(143)*(1.023*1.005-2.3%*15%)*6.99+5555*4.09</f>
        <v>23744</v>
      </c>
      <c r="G273" s="299">
        <f t="shared" si="45"/>
        <v>1.0960000000000001</v>
      </c>
      <c r="H273" s="339">
        <f t="shared" si="41"/>
        <v>26023</v>
      </c>
      <c r="I273" s="299">
        <f>Дефляторы!$D$152</f>
        <v>1.0429999999999999</v>
      </c>
      <c r="J273" s="339">
        <f t="shared" si="43"/>
        <v>27142</v>
      </c>
      <c r="K273" s="339">
        <f t="shared" si="44"/>
        <v>26806</v>
      </c>
      <c r="L273" s="372"/>
      <c r="M273" s="372"/>
      <c r="N273" s="372"/>
    </row>
    <row r="274" spans="1:14" s="381" customFormat="1" ht="63.75" hidden="1" outlineLevel="2" x14ac:dyDescent="0.2">
      <c r="A274" s="312" t="s">
        <v>1168</v>
      </c>
      <c r="B274" s="171" t="s">
        <v>385</v>
      </c>
      <c r="C274" s="171" t="s">
        <v>384</v>
      </c>
      <c r="D274" s="316" t="s">
        <v>305</v>
      </c>
      <c r="E274" s="170">
        <v>4</v>
      </c>
      <c r="F274" s="170">
        <f>(4283)*(1.023*1.005-2.3%*15%)*6.99+0*4.09</f>
        <v>30677</v>
      </c>
      <c r="G274" s="376">
        <f t="shared" si="45"/>
        <v>1.0960000000000001</v>
      </c>
      <c r="H274" s="377">
        <f t="shared" si="41"/>
        <v>33622</v>
      </c>
      <c r="I274" s="376">
        <f>Дефляторы!$D$152</f>
        <v>1.0429999999999999</v>
      </c>
      <c r="J274" s="377">
        <f t="shared" si="43"/>
        <v>35068</v>
      </c>
      <c r="K274" s="377">
        <f t="shared" si="44"/>
        <v>34634</v>
      </c>
      <c r="L274" s="403" t="s">
        <v>1225</v>
      </c>
      <c r="M274" s="380"/>
      <c r="N274" s="380"/>
    </row>
    <row r="275" spans="1:14" s="373" customFormat="1" ht="25.5" hidden="1" outlineLevel="2" x14ac:dyDescent="0.2">
      <c r="A275" s="208" t="s">
        <v>1169</v>
      </c>
      <c r="B275" s="100" t="s">
        <v>388</v>
      </c>
      <c r="C275" s="100" t="s">
        <v>387</v>
      </c>
      <c r="D275" s="157" t="s">
        <v>305</v>
      </c>
      <c r="E275" s="277">
        <v>20</v>
      </c>
      <c r="F275" s="277">
        <f>(715)*(1.023*1.005-2.3%*15%)*6.99+4467*4.09</f>
        <v>23391</v>
      </c>
      <c r="G275" s="299">
        <f t="shared" si="45"/>
        <v>1.0960000000000001</v>
      </c>
      <c r="H275" s="339">
        <f t="shared" si="41"/>
        <v>25637</v>
      </c>
      <c r="I275" s="299">
        <f>Дефляторы!$D$152</f>
        <v>1.0429999999999999</v>
      </c>
      <c r="J275" s="339">
        <f t="shared" si="43"/>
        <v>26739</v>
      </c>
      <c r="K275" s="339">
        <f t="shared" si="44"/>
        <v>26408</v>
      </c>
      <c r="L275" s="372"/>
      <c r="M275" s="372"/>
      <c r="N275" s="372"/>
    </row>
    <row r="276" spans="1:14" s="373" customFormat="1" ht="15.75" hidden="1" outlineLevel="2" x14ac:dyDescent="0.2">
      <c r="A276" s="208" t="s">
        <v>1170</v>
      </c>
      <c r="B276" s="100" t="s">
        <v>391</v>
      </c>
      <c r="C276" s="100" t="s">
        <v>389</v>
      </c>
      <c r="D276" s="157" t="s">
        <v>305</v>
      </c>
      <c r="E276" s="277">
        <v>4</v>
      </c>
      <c r="F276" s="277">
        <f>(349/2)*(1.023*1.005-2.3%*15%)*6.99+1725*4.09</f>
        <v>8305</v>
      </c>
      <c r="G276" s="299">
        <f t="shared" si="45"/>
        <v>1.0960000000000001</v>
      </c>
      <c r="H276" s="339">
        <f t="shared" si="41"/>
        <v>9102</v>
      </c>
      <c r="I276" s="299">
        <f>Дефляторы!$D$152</f>
        <v>1.0429999999999999</v>
      </c>
      <c r="J276" s="339">
        <f t="shared" si="43"/>
        <v>9493</v>
      </c>
      <c r="K276" s="339">
        <f t="shared" si="44"/>
        <v>9376</v>
      </c>
      <c r="L276" s="372"/>
      <c r="M276" s="372"/>
      <c r="N276" s="372"/>
    </row>
    <row r="277" spans="1:14" s="373" customFormat="1" ht="15.75" hidden="1" outlineLevel="2" x14ac:dyDescent="0.2">
      <c r="A277" s="208" t="s">
        <v>1171</v>
      </c>
      <c r="B277" s="100" t="s">
        <v>392</v>
      </c>
      <c r="C277" s="100" t="s">
        <v>390</v>
      </c>
      <c r="D277" s="157" t="s">
        <v>305</v>
      </c>
      <c r="E277" s="277">
        <v>4</v>
      </c>
      <c r="F277" s="277">
        <f>(349/2)*(1.023*1.005-2.3%*15%)*6.99+1668*4.09</f>
        <v>8072</v>
      </c>
      <c r="G277" s="299">
        <f t="shared" si="45"/>
        <v>1.0960000000000001</v>
      </c>
      <c r="H277" s="339">
        <f t="shared" si="41"/>
        <v>8847</v>
      </c>
      <c r="I277" s="299">
        <f>Дефляторы!$D$152</f>
        <v>1.0429999999999999</v>
      </c>
      <c r="J277" s="339">
        <f t="shared" si="43"/>
        <v>9227</v>
      </c>
      <c r="K277" s="339">
        <f t="shared" si="44"/>
        <v>9113</v>
      </c>
      <c r="L277" s="372"/>
      <c r="M277" s="372"/>
      <c r="N277" s="372"/>
    </row>
    <row r="278" spans="1:14" s="373" customFormat="1" ht="15.75" hidden="1" outlineLevel="2" x14ac:dyDescent="0.2">
      <c r="A278" s="208" t="s">
        <v>1172</v>
      </c>
      <c r="B278" s="100" t="s">
        <v>394</v>
      </c>
      <c r="C278" s="100" t="s">
        <v>393</v>
      </c>
      <c r="D278" s="157" t="s">
        <v>305</v>
      </c>
      <c r="E278" s="277">
        <v>4</v>
      </c>
      <c r="F278" s="277">
        <f>(143)*(1.023*1.005-2.3%*15%)*6.99+3539*4.09</f>
        <v>15499</v>
      </c>
      <c r="G278" s="299">
        <f t="shared" si="45"/>
        <v>1.0960000000000001</v>
      </c>
      <c r="H278" s="339">
        <f t="shared" si="41"/>
        <v>16987</v>
      </c>
      <c r="I278" s="299">
        <f>Дефляторы!$D$152</f>
        <v>1.0429999999999999</v>
      </c>
      <c r="J278" s="339">
        <f t="shared" si="43"/>
        <v>17717</v>
      </c>
      <c r="K278" s="339">
        <f t="shared" si="44"/>
        <v>17498</v>
      </c>
      <c r="L278" s="372"/>
      <c r="M278" s="372"/>
      <c r="N278" s="372"/>
    </row>
    <row r="279" spans="1:14" s="373" customFormat="1" ht="25.5" hidden="1" outlineLevel="2" x14ac:dyDescent="0.2">
      <c r="A279" s="208" t="s">
        <v>1173</v>
      </c>
      <c r="B279" s="100" t="s">
        <v>396</v>
      </c>
      <c r="C279" s="100" t="s">
        <v>395</v>
      </c>
      <c r="D279" s="157" t="s">
        <v>305</v>
      </c>
      <c r="E279" s="277">
        <v>4</v>
      </c>
      <c r="F279" s="277">
        <f>(176)*(1.023*1.005-2.3%*15%)*6.99+1617*4.09</f>
        <v>7874</v>
      </c>
      <c r="G279" s="299">
        <f t="shared" si="45"/>
        <v>1.0960000000000001</v>
      </c>
      <c r="H279" s="339">
        <f t="shared" si="41"/>
        <v>8630</v>
      </c>
      <c r="I279" s="299">
        <f>Дефляторы!$D$152</f>
        <v>1.0429999999999999</v>
      </c>
      <c r="J279" s="339">
        <f t="shared" si="43"/>
        <v>9001</v>
      </c>
      <c r="K279" s="339">
        <f t="shared" si="44"/>
        <v>8890</v>
      </c>
      <c r="L279" s="372"/>
      <c r="M279" s="372"/>
      <c r="N279" s="372"/>
    </row>
    <row r="280" spans="1:14" s="373" customFormat="1" ht="25.5" hidden="1" outlineLevel="2" x14ac:dyDescent="0.2">
      <c r="A280" s="208" t="s">
        <v>1174</v>
      </c>
      <c r="B280" s="100" t="s">
        <v>398</v>
      </c>
      <c r="C280" s="100" t="s">
        <v>397</v>
      </c>
      <c r="D280" s="157" t="s">
        <v>305</v>
      </c>
      <c r="E280" s="277">
        <v>4</v>
      </c>
      <c r="F280" s="277">
        <f>(170)*(1.023*1.005-2.3%*15%)*6.99+0*4.09</f>
        <v>1218</v>
      </c>
      <c r="G280" s="299">
        <f t="shared" si="45"/>
        <v>1.0960000000000001</v>
      </c>
      <c r="H280" s="339">
        <f t="shared" si="41"/>
        <v>1335</v>
      </c>
      <c r="I280" s="299">
        <f>Дефляторы!$D$152</f>
        <v>1.0429999999999999</v>
      </c>
      <c r="J280" s="339">
        <f t="shared" si="43"/>
        <v>1392</v>
      </c>
      <c r="K280" s="339">
        <f t="shared" si="44"/>
        <v>1375</v>
      </c>
      <c r="L280" s="372" t="s">
        <v>403</v>
      </c>
      <c r="M280" s="372"/>
      <c r="N280" s="372"/>
    </row>
    <row r="281" spans="1:14" s="373" customFormat="1" ht="15.75" hidden="1" outlineLevel="2" x14ac:dyDescent="0.2">
      <c r="A281" s="208" t="s">
        <v>1175</v>
      </c>
      <c r="B281" s="100" t="s">
        <v>400</v>
      </c>
      <c r="C281" s="100" t="s">
        <v>399</v>
      </c>
      <c r="D281" s="157" t="s">
        <v>305</v>
      </c>
      <c r="E281" s="277">
        <v>4</v>
      </c>
      <c r="F281" s="277">
        <f>(143)*(1.023*1.005-2.3%*15%)*6.99+3921*4.09</f>
        <v>17061</v>
      </c>
      <c r="G281" s="299">
        <f t="shared" si="45"/>
        <v>1.0960000000000001</v>
      </c>
      <c r="H281" s="339">
        <f t="shared" si="41"/>
        <v>18699</v>
      </c>
      <c r="I281" s="299">
        <f>Дефляторы!$D$152</f>
        <v>1.0429999999999999</v>
      </c>
      <c r="J281" s="339">
        <f t="shared" si="43"/>
        <v>19503</v>
      </c>
      <c r="K281" s="339">
        <f t="shared" si="44"/>
        <v>19262</v>
      </c>
      <c r="L281" s="372"/>
      <c r="M281" s="372"/>
      <c r="N281" s="372"/>
    </row>
    <row r="282" spans="1:14" s="373" customFormat="1" ht="15.75" hidden="1" outlineLevel="2" x14ac:dyDescent="0.2">
      <c r="A282" s="208" t="s">
        <v>1176</v>
      </c>
      <c r="B282" s="100" t="s">
        <v>402</v>
      </c>
      <c r="C282" s="100" t="s">
        <v>401</v>
      </c>
      <c r="D282" s="157" t="s">
        <v>363</v>
      </c>
      <c r="E282" s="277">
        <v>550</v>
      </c>
      <c r="F282" s="277">
        <f>(10182+7433)*(1.023*1.005-2.3%*15%)*6.99+0*4.09</f>
        <v>126166</v>
      </c>
      <c r="G282" s="299">
        <f t="shared" si="45"/>
        <v>1.0960000000000001</v>
      </c>
      <c r="H282" s="339">
        <f t="shared" si="41"/>
        <v>138278</v>
      </c>
      <c r="I282" s="299">
        <f>Дефляторы!$D$152</f>
        <v>1.0429999999999999</v>
      </c>
      <c r="J282" s="339">
        <f t="shared" si="43"/>
        <v>144224</v>
      </c>
      <c r="K282" s="339">
        <f t="shared" si="44"/>
        <v>142440</v>
      </c>
      <c r="L282" s="372"/>
      <c r="M282" s="372"/>
      <c r="N282" s="372"/>
    </row>
    <row r="283" spans="1:14" s="373" customFormat="1" ht="25.5" hidden="1" outlineLevel="2" x14ac:dyDescent="0.2">
      <c r="A283" s="208" t="s">
        <v>1177</v>
      </c>
      <c r="B283" s="100" t="s">
        <v>405</v>
      </c>
      <c r="C283" s="100" t="s">
        <v>404</v>
      </c>
      <c r="D283" s="157" t="s">
        <v>363</v>
      </c>
      <c r="E283" s="277">
        <v>200</v>
      </c>
      <c r="F283" s="277">
        <f>(3477+3958)*(1.023*1.005-2.3%*15%)*6.99+0*4.09</f>
        <v>53253</v>
      </c>
      <c r="G283" s="299">
        <f t="shared" si="45"/>
        <v>1.0960000000000001</v>
      </c>
      <c r="H283" s="339">
        <f t="shared" si="41"/>
        <v>58365</v>
      </c>
      <c r="I283" s="299">
        <f>Дефляторы!$D$152</f>
        <v>1.0429999999999999</v>
      </c>
      <c r="J283" s="339">
        <f t="shared" si="43"/>
        <v>60875</v>
      </c>
      <c r="K283" s="339">
        <f t="shared" si="44"/>
        <v>60122</v>
      </c>
      <c r="L283" s="372"/>
      <c r="M283" s="372"/>
      <c r="N283" s="372"/>
    </row>
    <row r="284" spans="1:14" s="373" customFormat="1" ht="15.75" hidden="1" outlineLevel="2" x14ac:dyDescent="0.2">
      <c r="A284" s="208" t="s">
        <v>1178</v>
      </c>
      <c r="B284" s="100" t="s">
        <v>407</v>
      </c>
      <c r="C284" s="100" t="s">
        <v>406</v>
      </c>
      <c r="D284" s="157" t="s">
        <v>305</v>
      </c>
      <c r="E284" s="277">
        <v>50</v>
      </c>
      <c r="F284" s="277">
        <f>(403+785)*(1.023*1.005-2.3%*15%)*6.99+0*4.09</f>
        <v>8509</v>
      </c>
      <c r="G284" s="299">
        <f t="shared" si="45"/>
        <v>1.0960000000000001</v>
      </c>
      <c r="H284" s="339">
        <f t="shared" si="41"/>
        <v>9326</v>
      </c>
      <c r="I284" s="299">
        <f>Дефляторы!$D$152</f>
        <v>1.0429999999999999</v>
      </c>
      <c r="J284" s="339">
        <f t="shared" si="43"/>
        <v>9727</v>
      </c>
      <c r="K284" s="339">
        <f t="shared" si="44"/>
        <v>9607</v>
      </c>
      <c r="L284" s="372"/>
      <c r="M284" s="372"/>
      <c r="N284" s="372"/>
    </row>
    <row r="285" spans="1:14" s="373" customFormat="1" ht="25.5" hidden="1" outlineLevel="2" x14ac:dyDescent="0.2">
      <c r="A285" s="208" t="s">
        <v>1179</v>
      </c>
      <c r="B285" s="100" t="s">
        <v>410</v>
      </c>
      <c r="C285" s="100" t="s">
        <v>409</v>
      </c>
      <c r="D285" s="157" t="s">
        <v>363</v>
      </c>
      <c r="E285" s="277">
        <v>520</v>
      </c>
      <c r="F285" s="277">
        <f>(520/1450*7134+5814)*(1.023*1.005-2.3%*15%)*6.99+0*4.09</f>
        <v>59967</v>
      </c>
      <c r="G285" s="299">
        <f t="shared" si="45"/>
        <v>1.0960000000000001</v>
      </c>
      <c r="H285" s="339">
        <f t="shared" si="41"/>
        <v>65724</v>
      </c>
      <c r="I285" s="299">
        <f>Дефляторы!$D$152</f>
        <v>1.0429999999999999</v>
      </c>
      <c r="J285" s="339">
        <f t="shared" si="43"/>
        <v>68550</v>
      </c>
      <c r="K285" s="339">
        <f t="shared" si="44"/>
        <v>67702</v>
      </c>
      <c r="L285" s="372"/>
      <c r="M285" s="372"/>
      <c r="N285" s="372"/>
    </row>
    <row r="286" spans="1:14" s="373" customFormat="1" ht="15.75" hidden="1" outlineLevel="2" x14ac:dyDescent="0.2">
      <c r="A286" s="208" t="s">
        <v>1180</v>
      </c>
      <c r="B286" s="100" t="s">
        <v>412</v>
      </c>
      <c r="C286" s="100" t="s">
        <v>411</v>
      </c>
      <c r="D286" s="157" t="s">
        <v>363</v>
      </c>
      <c r="E286" s="277">
        <v>520</v>
      </c>
      <c r="F286" s="277">
        <f>(520/1450*7134+1925)*(1.023*1.005-2.3%*15%)*6.99+0*4.09</f>
        <v>32112</v>
      </c>
      <c r="G286" s="299">
        <f t="shared" si="45"/>
        <v>1.0960000000000001</v>
      </c>
      <c r="H286" s="339">
        <f t="shared" si="41"/>
        <v>35195</v>
      </c>
      <c r="I286" s="299">
        <f>Дефляторы!$D$152</f>
        <v>1.0429999999999999</v>
      </c>
      <c r="J286" s="339">
        <f t="shared" si="43"/>
        <v>36708</v>
      </c>
      <c r="K286" s="339">
        <f t="shared" si="44"/>
        <v>36254</v>
      </c>
      <c r="L286" s="372"/>
      <c r="M286" s="372"/>
      <c r="N286" s="372"/>
    </row>
    <row r="287" spans="1:14" s="373" customFormat="1" ht="15.75" hidden="1" outlineLevel="2" x14ac:dyDescent="0.2">
      <c r="A287" s="208" t="s">
        <v>1181</v>
      </c>
      <c r="B287" s="100" t="s">
        <v>414</v>
      </c>
      <c r="C287" s="100" t="s">
        <v>413</v>
      </c>
      <c r="D287" s="157" t="s">
        <v>363</v>
      </c>
      <c r="E287" s="277">
        <v>10</v>
      </c>
      <c r="F287" s="277">
        <f>(10/1450*7134+113)*(1.023*1.005-2.3%*15%)*6.99+0*4.09</f>
        <v>1162</v>
      </c>
      <c r="G287" s="299">
        <f t="shared" si="45"/>
        <v>1.0960000000000001</v>
      </c>
      <c r="H287" s="339">
        <f t="shared" si="41"/>
        <v>1274</v>
      </c>
      <c r="I287" s="299">
        <f>Дефляторы!$D$152</f>
        <v>1.0429999999999999</v>
      </c>
      <c r="J287" s="339">
        <f t="shared" si="43"/>
        <v>1329</v>
      </c>
      <c r="K287" s="339">
        <f t="shared" si="44"/>
        <v>1313</v>
      </c>
      <c r="L287" s="372"/>
      <c r="M287" s="372"/>
      <c r="N287" s="372"/>
    </row>
    <row r="288" spans="1:14" s="373" customFormat="1" ht="15.75" hidden="1" outlineLevel="2" x14ac:dyDescent="0.2">
      <c r="A288" s="208" t="s">
        <v>1182</v>
      </c>
      <c r="B288" s="100" t="s">
        <v>416</v>
      </c>
      <c r="C288" s="100" t="s">
        <v>415</v>
      </c>
      <c r="D288" s="157" t="s">
        <v>363</v>
      </c>
      <c r="E288" s="277">
        <v>400</v>
      </c>
      <c r="F288" s="277">
        <f>(400/1450*7134+5561)*(1.023*1.005-2.3%*15%)*6.99+0*4.09</f>
        <v>53926</v>
      </c>
      <c r="G288" s="299">
        <f t="shared" si="45"/>
        <v>1.0960000000000001</v>
      </c>
      <c r="H288" s="339">
        <f t="shared" si="41"/>
        <v>59103</v>
      </c>
      <c r="I288" s="299">
        <f>Дефляторы!$D$152</f>
        <v>1.0429999999999999</v>
      </c>
      <c r="J288" s="339">
        <f t="shared" si="43"/>
        <v>61644</v>
      </c>
      <c r="K288" s="339">
        <f t="shared" si="44"/>
        <v>60882</v>
      </c>
      <c r="L288" s="372"/>
      <c r="M288" s="372"/>
      <c r="N288" s="372"/>
    </row>
    <row r="289" spans="1:14" s="362" customFormat="1" ht="15.75" outlineLevel="1" collapsed="1" x14ac:dyDescent="0.2">
      <c r="A289" s="282" t="s">
        <v>946</v>
      </c>
      <c r="B289" s="283"/>
      <c r="C289" s="283" t="s">
        <v>987</v>
      </c>
      <c r="D289" s="359" t="s">
        <v>250</v>
      </c>
      <c r="E289" s="154">
        <v>1</v>
      </c>
      <c r="F289" s="154">
        <f>SUM(F290:F291)</f>
        <v>492952</v>
      </c>
      <c r="G289" s="296">
        <f t="shared" si="45"/>
        <v>1.0960000000000001</v>
      </c>
      <c r="H289" s="337">
        <f>SUM(H290:H291)</f>
        <v>540275</v>
      </c>
      <c r="I289" s="296">
        <f>Дефляторы!$D$161</f>
        <v>1.0469999999999999</v>
      </c>
      <c r="J289" s="337">
        <f>SUM(J290:J291)</f>
        <v>565667</v>
      </c>
      <c r="K289" s="337">
        <f>SUM(K290:K291)</f>
        <v>558050</v>
      </c>
      <c r="L289" s="360"/>
      <c r="M289" s="360"/>
      <c r="N289" s="360"/>
    </row>
    <row r="290" spans="1:14" s="373" customFormat="1" ht="60.75" hidden="1" customHeight="1" outlineLevel="2" x14ac:dyDescent="0.2">
      <c r="A290" s="208" t="s">
        <v>1183</v>
      </c>
      <c r="B290" s="100" t="s">
        <v>307</v>
      </c>
      <c r="C290" s="100" t="s">
        <v>715</v>
      </c>
      <c r="D290" s="157" t="s">
        <v>305</v>
      </c>
      <c r="E290" s="277">
        <v>34</v>
      </c>
      <c r="F290" s="277">
        <f>(34/35*68825)*(1.023*1.005-2.3%*15%)*6.99+0*4.09</f>
        <v>478868</v>
      </c>
      <c r="G290" s="299">
        <f t="shared" si="45"/>
        <v>1.0960000000000001</v>
      </c>
      <c r="H290" s="339">
        <f t="shared" si="41"/>
        <v>524839</v>
      </c>
      <c r="I290" s="299">
        <f>Дефляторы!$D$161</f>
        <v>1.0469999999999999</v>
      </c>
      <c r="J290" s="339">
        <f t="shared" si="43"/>
        <v>549506</v>
      </c>
      <c r="K290" s="339">
        <f t="shared" si="44"/>
        <v>542106</v>
      </c>
      <c r="L290" s="619" t="s">
        <v>1333</v>
      </c>
      <c r="M290" s="382">
        <f>203.7</f>
        <v>203.7</v>
      </c>
      <c r="N290" s="372">
        <f>E290*M290</f>
        <v>6925.8</v>
      </c>
    </row>
    <row r="291" spans="1:14" s="373" customFormat="1" ht="54" hidden="1" customHeight="1" outlineLevel="2" x14ac:dyDescent="0.2">
      <c r="A291" s="208" t="s">
        <v>1184</v>
      </c>
      <c r="B291" s="100" t="s">
        <v>307</v>
      </c>
      <c r="C291" s="100" t="s">
        <v>306</v>
      </c>
      <c r="D291" s="157" t="s">
        <v>305</v>
      </c>
      <c r="E291" s="277">
        <v>1</v>
      </c>
      <c r="F291" s="277">
        <f>(1/35*68825)*(1.023*1.005-2.3%*15%)*6.99+0*4.09</f>
        <v>14084</v>
      </c>
      <c r="G291" s="299">
        <f t="shared" si="45"/>
        <v>1.0960000000000001</v>
      </c>
      <c r="H291" s="339">
        <f t="shared" si="41"/>
        <v>15436</v>
      </c>
      <c r="I291" s="299">
        <f>Дефляторы!$D$161</f>
        <v>1.0469999999999999</v>
      </c>
      <c r="J291" s="339">
        <f t="shared" si="43"/>
        <v>16161</v>
      </c>
      <c r="K291" s="339">
        <f t="shared" si="44"/>
        <v>15944</v>
      </c>
      <c r="L291" s="620"/>
      <c r="M291" s="382">
        <f>225.3</f>
        <v>225.3</v>
      </c>
      <c r="N291" s="372">
        <f>E291*M291</f>
        <v>225.3</v>
      </c>
    </row>
    <row r="292" spans="1:14" s="362" customFormat="1" ht="69" customHeight="1" outlineLevel="1" collapsed="1" x14ac:dyDescent="0.2">
      <c r="A292" s="282" t="s">
        <v>947</v>
      </c>
      <c r="B292" s="283" t="s">
        <v>51</v>
      </c>
      <c r="C292" s="283" t="s">
        <v>52</v>
      </c>
      <c r="D292" s="359" t="s">
        <v>250</v>
      </c>
      <c r="E292" s="154">
        <v>1</v>
      </c>
      <c r="F292" s="154">
        <f>'Затраты подрядчика'!L80</f>
        <v>258744</v>
      </c>
      <c r="G292" s="296">
        <f t="shared" si="45"/>
        <v>1.0960000000000001</v>
      </c>
      <c r="H292" s="337">
        <f t="shared" si="41"/>
        <v>283583</v>
      </c>
      <c r="I292" s="296">
        <f>Дефляторы!$D$170</f>
        <v>1.038</v>
      </c>
      <c r="J292" s="337">
        <f t="shared" si="43"/>
        <v>294359</v>
      </c>
      <c r="K292" s="337">
        <f t="shared" si="44"/>
        <v>291126</v>
      </c>
      <c r="L292" s="360"/>
      <c r="M292" s="360"/>
      <c r="N292" s="360"/>
    </row>
    <row r="293" spans="1:14" s="362" customFormat="1" ht="89.25" outlineLevel="1" x14ac:dyDescent="0.2">
      <c r="A293" s="282" t="s">
        <v>948</v>
      </c>
      <c r="B293" s="283" t="s">
        <v>106</v>
      </c>
      <c r="C293" s="283" t="s">
        <v>709</v>
      </c>
      <c r="D293" s="359" t="s">
        <v>271</v>
      </c>
      <c r="E293" s="154">
        <f>(2060+245+175)*3</f>
        <v>7440</v>
      </c>
      <c r="F293" s="154">
        <f>19090*6.99</f>
        <v>133439</v>
      </c>
      <c r="G293" s="296">
        <f t="shared" si="45"/>
        <v>1.0960000000000001</v>
      </c>
      <c r="H293" s="337">
        <f t="shared" si="41"/>
        <v>146249</v>
      </c>
      <c r="I293" s="296">
        <f>Дефляторы!$D$179</f>
        <v>1.038</v>
      </c>
      <c r="J293" s="337">
        <f t="shared" si="43"/>
        <v>151806</v>
      </c>
      <c r="K293" s="337">
        <f t="shared" si="44"/>
        <v>150139</v>
      </c>
      <c r="L293" s="404" t="s">
        <v>710</v>
      </c>
      <c r="M293" s="360"/>
      <c r="N293" s="360"/>
    </row>
    <row r="294" spans="1:14" s="362" customFormat="1" ht="15.75" outlineLevel="1" x14ac:dyDescent="0.2">
      <c r="A294" s="282" t="s">
        <v>949</v>
      </c>
      <c r="B294" s="283" t="s">
        <v>53</v>
      </c>
      <c r="C294" s="283" t="s">
        <v>1392</v>
      </c>
      <c r="D294" s="359" t="s">
        <v>250</v>
      </c>
      <c r="E294" s="154">
        <v>1</v>
      </c>
      <c r="F294" s="154">
        <f>'Затраты подрядчика'!L82</f>
        <v>485874</v>
      </c>
      <c r="G294" s="296">
        <f t="shared" si="45"/>
        <v>1.0960000000000001</v>
      </c>
      <c r="H294" s="337">
        <f t="shared" si="41"/>
        <v>532518</v>
      </c>
      <c r="I294" s="296">
        <f>Дефляторы!$D$188</f>
        <v>1.038</v>
      </c>
      <c r="J294" s="337">
        <f t="shared" si="43"/>
        <v>552754</v>
      </c>
      <c r="K294" s="337">
        <f t="shared" si="44"/>
        <v>546683</v>
      </c>
      <c r="L294" s="360"/>
      <c r="M294" s="360"/>
      <c r="N294" s="360"/>
    </row>
    <row r="295" spans="1:14" s="362" customFormat="1" ht="15.75" outlineLevel="1" x14ac:dyDescent="0.2">
      <c r="A295" s="282" t="s">
        <v>952</v>
      </c>
      <c r="B295" s="283" t="s">
        <v>110</v>
      </c>
      <c r="C295" s="283" t="s">
        <v>1391</v>
      </c>
      <c r="D295" s="359" t="s">
        <v>250</v>
      </c>
      <c r="E295" s="154">
        <v>1</v>
      </c>
      <c r="F295" s="154">
        <f>F296+F297</f>
        <v>5841280</v>
      </c>
      <c r="G295" s="296"/>
      <c r="H295" s="337">
        <f>H296+H297</f>
        <v>5866250</v>
      </c>
      <c r="I295" s="296"/>
      <c r="J295" s="337">
        <f>J296+J297</f>
        <v>5877083</v>
      </c>
      <c r="K295" s="337">
        <f>K296+K297</f>
        <v>5873833</v>
      </c>
      <c r="L295" s="360"/>
      <c r="M295" s="360"/>
      <c r="N295" s="360"/>
    </row>
    <row r="296" spans="1:14" s="373" customFormat="1" ht="15.75" hidden="1" outlineLevel="2" x14ac:dyDescent="0.2">
      <c r="A296" s="356" t="s">
        <v>1321</v>
      </c>
      <c r="B296" s="100" t="s">
        <v>1315</v>
      </c>
      <c r="C296" s="100" t="s">
        <v>1317</v>
      </c>
      <c r="D296" s="157" t="s">
        <v>250</v>
      </c>
      <c r="E296" s="277">
        <v>1</v>
      </c>
      <c r="F296" s="277">
        <f>(11365+13093)*10.79*'Затраты подрядчика'!R83</f>
        <v>260102</v>
      </c>
      <c r="G296" s="299">
        <f>$G$327</f>
        <v>1.0960000000000001</v>
      </c>
      <c r="H296" s="339">
        <f t="shared" si="41"/>
        <v>285072</v>
      </c>
      <c r="I296" s="299">
        <f>Дефляторы!$D$197</f>
        <v>1.038</v>
      </c>
      <c r="J296" s="339">
        <f t="shared" si="43"/>
        <v>295905</v>
      </c>
      <c r="K296" s="339">
        <f t="shared" si="44"/>
        <v>292655</v>
      </c>
      <c r="L296" s="372"/>
      <c r="M296" s="372"/>
      <c r="N296" s="372"/>
    </row>
    <row r="297" spans="1:14" s="373" customFormat="1" ht="15.75" hidden="1" outlineLevel="2" x14ac:dyDescent="0.2">
      <c r="A297" s="356" t="s">
        <v>1322</v>
      </c>
      <c r="B297" s="100" t="s">
        <v>1316</v>
      </c>
      <c r="C297" s="100" t="s">
        <v>1318</v>
      </c>
      <c r="D297" s="157" t="s">
        <v>250</v>
      </c>
      <c r="E297" s="277">
        <v>1</v>
      </c>
      <c r="F297" s="277">
        <f>(444051+80760)*10.79*'Затраты подрядчика'!R83+10</f>
        <v>5581178</v>
      </c>
      <c r="G297" s="299">
        <v>1</v>
      </c>
      <c r="H297" s="339">
        <f t="shared" si="41"/>
        <v>5581178</v>
      </c>
      <c r="I297" s="299">
        <v>1</v>
      </c>
      <c r="J297" s="339">
        <f t="shared" si="43"/>
        <v>5581178</v>
      </c>
      <c r="K297" s="339">
        <f t="shared" si="44"/>
        <v>5581178</v>
      </c>
      <c r="L297" s="372"/>
      <c r="M297" s="372"/>
      <c r="N297" s="372"/>
    </row>
    <row r="298" spans="1:14" s="362" customFormat="1" ht="15.75" outlineLevel="1" collapsed="1" x14ac:dyDescent="0.2">
      <c r="A298" s="282" t="s">
        <v>1192</v>
      </c>
      <c r="B298" s="283" t="s">
        <v>55</v>
      </c>
      <c r="C298" s="283" t="s">
        <v>1390</v>
      </c>
      <c r="D298" s="359" t="s">
        <v>250</v>
      </c>
      <c r="E298" s="154">
        <v>1</v>
      </c>
      <c r="F298" s="154">
        <f>'Затраты подрядчика'!L84</f>
        <v>141147</v>
      </c>
      <c r="G298" s="296">
        <f>$G$327</f>
        <v>1.0960000000000001</v>
      </c>
      <c r="H298" s="337">
        <f t="shared" si="41"/>
        <v>154697</v>
      </c>
      <c r="I298" s="296">
        <f>Дефляторы!$D$206</f>
        <v>1.038</v>
      </c>
      <c r="J298" s="337">
        <f t="shared" si="43"/>
        <v>160575</v>
      </c>
      <c r="K298" s="337">
        <f t="shared" si="44"/>
        <v>158812</v>
      </c>
      <c r="L298" s="360"/>
      <c r="M298" s="360"/>
      <c r="N298" s="360"/>
    </row>
    <row r="299" spans="1:14" s="362" customFormat="1" ht="15.75" outlineLevel="1" x14ac:dyDescent="0.2">
      <c r="A299" s="282" t="s">
        <v>1193</v>
      </c>
      <c r="B299" s="283" t="s">
        <v>57</v>
      </c>
      <c r="C299" s="283" t="s">
        <v>1389</v>
      </c>
      <c r="D299" s="405" t="s">
        <v>250</v>
      </c>
      <c r="E299" s="154">
        <v>1</v>
      </c>
      <c r="F299" s="154">
        <f>F300+F301</f>
        <v>8796326</v>
      </c>
      <c r="G299" s="296">
        <f>$G$327</f>
        <v>1.0960000000000001</v>
      </c>
      <c r="H299" s="154">
        <f>H300+H301</f>
        <v>9640774</v>
      </c>
      <c r="I299" s="296">
        <f>Дефляторы!$D$215</f>
        <v>1.038</v>
      </c>
      <c r="J299" s="154">
        <f>J300+J301</f>
        <v>10007123</v>
      </c>
      <c r="K299" s="154">
        <f>K300+K301</f>
        <v>9897219</v>
      </c>
      <c r="L299" s="360"/>
      <c r="M299" s="360"/>
      <c r="N299" s="360"/>
    </row>
    <row r="300" spans="1:14" s="373" customFormat="1" ht="15.75" hidden="1" outlineLevel="2" x14ac:dyDescent="0.2">
      <c r="A300" s="208" t="s">
        <v>1195</v>
      </c>
      <c r="B300" s="100" t="s">
        <v>211</v>
      </c>
      <c r="C300" s="406" t="s">
        <v>209</v>
      </c>
      <c r="D300" s="383" t="s">
        <v>250</v>
      </c>
      <c r="E300" s="277">
        <v>1</v>
      </c>
      <c r="F300" s="277">
        <f>'Затраты подрядчика'!L93</f>
        <v>8192913</v>
      </c>
      <c r="G300" s="299">
        <f>$G$327</f>
        <v>1.0960000000000001</v>
      </c>
      <c r="H300" s="339">
        <f t="shared" ref="H300:H319" si="46">F300*G300</f>
        <v>8979433</v>
      </c>
      <c r="I300" s="299">
        <f>Дефляторы!$D$215</f>
        <v>1.038</v>
      </c>
      <c r="J300" s="339">
        <f t="shared" si="43"/>
        <v>9320651</v>
      </c>
      <c r="K300" s="339">
        <f t="shared" si="44"/>
        <v>9218286</v>
      </c>
      <c r="L300" s="372"/>
      <c r="M300" s="372"/>
      <c r="N300" s="372"/>
    </row>
    <row r="301" spans="1:14" s="373" customFormat="1" ht="15.75" hidden="1" outlineLevel="2" x14ac:dyDescent="0.2">
      <c r="A301" s="208" t="s">
        <v>1196</v>
      </c>
      <c r="B301" s="100" t="s">
        <v>212</v>
      </c>
      <c r="C301" s="406" t="s">
        <v>210</v>
      </c>
      <c r="D301" s="383" t="s">
        <v>250</v>
      </c>
      <c r="E301" s="277">
        <v>1</v>
      </c>
      <c r="F301" s="277">
        <f>'Затраты подрядчика'!L94</f>
        <v>603413</v>
      </c>
      <c r="G301" s="299">
        <f>$G$327</f>
        <v>1.0960000000000001</v>
      </c>
      <c r="H301" s="339">
        <f t="shared" si="46"/>
        <v>661341</v>
      </c>
      <c r="I301" s="299">
        <f>Дефляторы!$D$215</f>
        <v>1.038</v>
      </c>
      <c r="J301" s="339">
        <f t="shared" si="43"/>
        <v>686472</v>
      </c>
      <c r="K301" s="339">
        <f t="shared" si="44"/>
        <v>678933</v>
      </c>
      <c r="L301" s="372"/>
      <c r="M301" s="372"/>
      <c r="N301" s="372"/>
    </row>
    <row r="302" spans="1:14" s="362" customFormat="1" ht="15.75" hidden="1" outlineLevel="1" collapsed="1" x14ac:dyDescent="0.2">
      <c r="A302" s="282" t="s">
        <v>1197</v>
      </c>
      <c r="B302" s="283" t="s">
        <v>1237</v>
      </c>
      <c r="C302" s="407" t="s">
        <v>1385</v>
      </c>
      <c r="D302" s="405" t="s">
        <v>250</v>
      </c>
      <c r="E302" s="154">
        <v>1</v>
      </c>
      <c r="F302" s="154">
        <f>'Затраты подрядчика'!K34</f>
        <v>0</v>
      </c>
      <c r="G302" s="296">
        <f>$G$327</f>
        <v>1.0960000000000001</v>
      </c>
      <c r="H302" s="337">
        <f t="shared" si="46"/>
        <v>0</v>
      </c>
      <c r="I302" s="296">
        <f>Дефляторы!$D$233</f>
        <v>1.0429999999999999</v>
      </c>
      <c r="J302" s="337">
        <f t="shared" si="43"/>
        <v>0</v>
      </c>
      <c r="K302" s="337">
        <f t="shared" si="44"/>
        <v>0</v>
      </c>
      <c r="L302" s="360"/>
      <c r="M302" s="360"/>
      <c r="N302" s="360"/>
    </row>
    <row r="303" spans="1:14" s="362" customFormat="1" ht="15.75" hidden="1" outlineLevel="1" x14ac:dyDescent="0.2">
      <c r="A303" s="282" t="s">
        <v>1197</v>
      </c>
      <c r="B303" s="283" t="s">
        <v>1237</v>
      </c>
      <c r="C303" s="407" t="s">
        <v>1236</v>
      </c>
      <c r="D303" s="405" t="s">
        <v>250</v>
      </c>
      <c r="E303" s="154">
        <v>1</v>
      </c>
      <c r="F303" s="154"/>
      <c r="G303" s="296"/>
      <c r="H303" s="337"/>
      <c r="I303" s="296"/>
      <c r="J303" s="337"/>
      <c r="K303" s="337"/>
      <c r="L303" s="450"/>
      <c r="M303" s="360"/>
      <c r="N303" s="360"/>
    </row>
    <row r="304" spans="1:14" s="362" customFormat="1" ht="15.75" hidden="1" outlineLevel="1" x14ac:dyDescent="0.2">
      <c r="A304" s="282" t="s">
        <v>1386</v>
      </c>
      <c r="B304" s="283"/>
      <c r="C304" s="283" t="s">
        <v>1209</v>
      </c>
      <c r="D304" s="405" t="s">
        <v>250</v>
      </c>
      <c r="E304" s="154">
        <v>1</v>
      </c>
      <c r="F304" s="154">
        <f>'Затраты подрядчика'!M109-'Ведомость объемов'!F8-'Ведомость объемов'!F319</f>
        <v>1926963</v>
      </c>
      <c r="G304" s="296">
        <f>$G$327</f>
        <v>1.0960000000000001</v>
      </c>
      <c r="H304" s="337">
        <f>F304*G304</f>
        <v>2111951</v>
      </c>
      <c r="I304" s="296">
        <f>Дефляторы!$D$242</f>
        <v>1.038</v>
      </c>
      <c r="J304" s="337">
        <f>H304*I304</f>
        <v>2192205</v>
      </c>
      <c r="K304" s="337">
        <f>H304+(J304-H304)*(1-30/100)</f>
        <v>2168129</v>
      </c>
      <c r="L304" s="360"/>
      <c r="M304" s="360"/>
      <c r="N304" s="360"/>
    </row>
    <row r="305" spans="1:14" s="411" customFormat="1" ht="54" customHeight="1" collapsed="1" x14ac:dyDescent="0.2">
      <c r="A305" s="402" t="s">
        <v>295</v>
      </c>
      <c r="B305" s="281"/>
      <c r="C305" s="412" t="s">
        <v>296</v>
      </c>
      <c r="D305" s="297" t="s">
        <v>250</v>
      </c>
      <c r="E305" s="364">
        <v>1</v>
      </c>
      <c r="F305" s="364">
        <f>F306+F310+F316+F319</f>
        <v>703920</v>
      </c>
      <c r="G305" s="365"/>
      <c r="H305" s="364">
        <f>H306+H310+H316+H319</f>
        <v>763668</v>
      </c>
      <c r="I305" s="365"/>
      <c r="J305" s="364">
        <f>J306+J310+J316+J319</f>
        <v>796049</v>
      </c>
      <c r="K305" s="364">
        <f>K306+K310+K316+K319</f>
        <v>786337</v>
      </c>
      <c r="L305" s="408"/>
      <c r="M305" s="409"/>
      <c r="N305" s="410"/>
    </row>
    <row r="306" spans="1:14" s="362" customFormat="1" ht="15.75" outlineLevel="1" x14ac:dyDescent="0.2">
      <c r="A306" s="363" t="s">
        <v>297</v>
      </c>
      <c r="B306" s="363"/>
      <c r="C306" s="358" t="s">
        <v>989</v>
      </c>
      <c r="D306" s="359" t="s">
        <v>250</v>
      </c>
      <c r="E306" s="154">
        <v>1</v>
      </c>
      <c r="F306" s="154">
        <f>SUM(F307:F309)</f>
        <v>92330</v>
      </c>
      <c r="G306" s="296">
        <f t="shared" ref="G306:G315" si="47">$G$327</f>
        <v>1.0960000000000001</v>
      </c>
      <c r="H306" s="154">
        <f>SUM(H307:H309)</f>
        <v>101193</v>
      </c>
      <c r="I306" s="296">
        <f>Дефляторы!$D$253</f>
        <v>1.0449999999999999</v>
      </c>
      <c r="J306" s="154">
        <f>SUM(J307:J309)</f>
        <v>105746</v>
      </c>
      <c r="K306" s="154">
        <f>SUM(K307:K309)</f>
        <v>104381</v>
      </c>
      <c r="L306" s="360"/>
      <c r="M306" s="360"/>
      <c r="N306" s="360"/>
    </row>
    <row r="307" spans="1:14" s="373" customFormat="1" ht="25.5" hidden="1" outlineLevel="2" x14ac:dyDescent="0.2">
      <c r="A307" s="208" t="s">
        <v>953</v>
      </c>
      <c r="B307" s="100" t="s">
        <v>191</v>
      </c>
      <c r="C307" s="100" t="s">
        <v>192</v>
      </c>
      <c r="D307" s="157" t="s">
        <v>250</v>
      </c>
      <c r="E307" s="277">
        <v>1</v>
      </c>
      <c r="F307" s="277">
        <f>'Затраты подрядчика'!L86</f>
        <v>11248</v>
      </c>
      <c r="G307" s="299">
        <f t="shared" si="47"/>
        <v>1.0960000000000001</v>
      </c>
      <c r="H307" s="339">
        <f t="shared" si="46"/>
        <v>12328</v>
      </c>
      <c r="I307" s="299">
        <f>Дефляторы!$D$253</f>
        <v>1.0449999999999999</v>
      </c>
      <c r="J307" s="339">
        <f t="shared" ref="J307:J309" si="48">H307*I307</f>
        <v>12883</v>
      </c>
      <c r="K307" s="339">
        <f t="shared" ref="K307:K309" si="49">H307+(J307-H307)*(1-30/100)</f>
        <v>12717</v>
      </c>
      <c r="L307" s="372"/>
      <c r="M307" s="372"/>
      <c r="N307" s="372"/>
    </row>
    <row r="308" spans="1:14" s="373" customFormat="1" ht="25.5" hidden="1" outlineLevel="2" x14ac:dyDescent="0.2">
      <c r="A308" s="208" t="s">
        <v>954</v>
      </c>
      <c r="B308" s="100" t="s">
        <v>193</v>
      </c>
      <c r="C308" s="100" t="s">
        <v>194</v>
      </c>
      <c r="D308" s="157" t="s">
        <v>250</v>
      </c>
      <c r="E308" s="277">
        <v>1</v>
      </c>
      <c r="F308" s="277">
        <f>'Затраты подрядчика'!L87</f>
        <v>7046</v>
      </c>
      <c r="G308" s="299">
        <f t="shared" si="47"/>
        <v>1.0960000000000001</v>
      </c>
      <c r="H308" s="339">
        <f t="shared" si="46"/>
        <v>7722</v>
      </c>
      <c r="I308" s="299">
        <f>Дефляторы!$D$253</f>
        <v>1.0449999999999999</v>
      </c>
      <c r="J308" s="339">
        <f t="shared" si="48"/>
        <v>8069</v>
      </c>
      <c r="K308" s="339">
        <f t="shared" si="49"/>
        <v>7965</v>
      </c>
      <c r="L308" s="372"/>
      <c r="M308" s="372"/>
      <c r="N308" s="372"/>
    </row>
    <row r="309" spans="1:14" s="373" customFormat="1" ht="15.75" hidden="1" outlineLevel="2" x14ac:dyDescent="0.2">
      <c r="A309" s="208" t="s">
        <v>955</v>
      </c>
      <c r="B309" s="100" t="s">
        <v>195</v>
      </c>
      <c r="C309" s="100" t="s">
        <v>196</v>
      </c>
      <c r="D309" s="383" t="s">
        <v>250</v>
      </c>
      <c r="E309" s="277">
        <v>1</v>
      </c>
      <c r="F309" s="277">
        <f>'Затраты подрядчика'!L88</f>
        <v>74036</v>
      </c>
      <c r="G309" s="299">
        <f t="shared" si="47"/>
        <v>1.0960000000000001</v>
      </c>
      <c r="H309" s="339">
        <f t="shared" si="46"/>
        <v>81143</v>
      </c>
      <c r="I309" s="299">
        <f>Дефляторы!$D$253</f>
        <v>1.0449999999999999</v>
      </c>
      <c r="J309" s="339">
        <f t="shared" si="48"/>
        <v>84794</v>
      </c>
      <c r="K309" s="339">
        <f t="shared" si="49"/>
        <v>83699</v>
      </c>
      <c r="L309" s="372"/>
      <c r="M309" s="372"/>
      <c r="N309" s="372"/>
    </row>
    <row r="310" spans="1:14" s="362" customFormat="1" ht="15.75" outlineLevel="1" collapsed="1" x14ac:dyDescent="0.2">
      <c r="A310" s="282" t="s">
        <v>298</v>
      </c>
      <c r="B310" s="283"/>
      <c r="C310" s="283" t="s">
        <v>988</v>
      </c>
      <c r="D310" s="359" t="s">
        <v>250</v>
      </c>
      <c r="E310" s="154">
        <v>1</v>
      </c>
      <c r="F310" s="154">
        <f>F311+F314+F315</f>
        <v>512445</v>
      </c>
      <c r="G310" s="296">
        <f t="shared" si="47"/>
        <v>1.0960000000000001</v>
      </c>
      <c r="H310" s="337">
        <f>H311+H314+H315</f>
        <v>561640</v>
      </c>
      <c r="I310" s="296"/>
      <c r="J310" s="337">
        <f>J311+J314+J315</f>
        <v>588599</v>
      </c>
      <c r="K310" s="337">
        <f>K311+K314+K315</f>
        <v>580512</v>
      </c>
      <c r="L310" s="360"/>
      <c r="M310" s="360"/>
      <c r="N310" s="360"/>
    </row>
    <row r="311" spans="1:14" s="373" customFormat="1" ht="15.75" hidden="1" outlineLevel="2" x14ac:dyDescent="0.2">
      <c r="A311" s="208" t="s">
        <v>1185</v>
      </c>
      <c r="B311" s="100" t="s">
        <v>197</v>
      </c>
      <c r="C311" s="100" t="s">
        <v>198</v>
      </c>
      <c r="D311" s="383" t="s">
        <v>250</v>
      </c>
      <c r="E311" s="277">
        <v>1</v>
      </c>
      <c r="F311" s="277">
        <f>F312+F313</f>
        <v>458309</v>
      </c>
      <c r="G311" s="299">
        <f t="shared" si="47"/>
        <v>1.0960000000000001</v>
      </c>
      <c r="H311" s="339">
        <f>H312+H313</f>
        <v>502306</v>
      </c>
      <c r="I311" s="299">
        <f>Дефляторы!$D$262</f>
        <v>1.048</v>
      </c>
      <c r="J311" s="339">
        <f>J312+J313</f>
        <v>526417</v>
      </c>
      <c r="K311" s="339">
        <f>K312+K313</f>
        <v>519184</v>
      </c>
      <c r="L311" s="372"/>
      <c r="M311" s="372"/>
      <c r="N311" s="372"/>
    </row>
    <row r="312" spans="1:14" s="390" customFormat="1" ht="15.75" hidden="1" outlineLevel="3" x14ac:dyDescent="0.2">
      <c r="A312" s="191" t="s">
        <v>1186</v>
      </c>
      <c r="B312" s="132" t="s">
        <v>712</v>
      </c>
      <c r="C312" s="132" t="s">
        <v>711</v>
      </c>
      <c r="D312" s="413" t="s">
        <v>250</v>
      </c>
      <c r="E312" s="233">
        <v>1</v>
      </c>
      <c r="F312" s="233">
        <f>32482*0.8*12.36</f>
        <v>321182</v>
      </c>
      <c r="G312" s="387">
        <f t="shared" si="47"/>
        <v>1.0960000000000001</v>
      </c>
      <c r="H312" s="388">
        <f t="shared" si="46"/>
        <v>352015</v>
      </c>
      <c r="I312" s="387">
        <f>Дефляторы!$D$262</f>
        <v>1.048</v>
      </c>
      <c r="J312" s="388">
        <f t="shared" ref="J312:J319" si="50">H312*I312</f>
        <v>368912</v>
      </c>
      <c r="K312" s="388">
        <f t="shared" ref="K312:K319" si="51">H312+(J312-H312)*(1-30/100)</f>
        <v>363843</v>
      </c>
      <c r="L312" s="194"/>
      <c r="M312" s="194"/>
      <c r="N312" s="194"/>
    </row>
    <row r="313" spans="1:14" s="390" customFormat="1" ht="15.75" hidden="1" outlineLevel="3" x14ac:dyDescent="0.2">
      <c r="A313" s="191" t="s">
        <v>1187</v>
      </c>
      <c r="B313" s="132" t="s">
        <v>713</v>
      </c>
      <c r="C313" s="132" t="s">
        <v>714</v>
      </c>
      <c r="D313" s="413" t="s">
        <v>250</v>
      </c>
      <c r="E313" s="233">
        <v>1</v>
      </c>
      <c r="F313" s="233">
        <f>13868*0.8*12.36</f>
        <v>137127</v>
      </c>
      <c r="G313" s="387">
        <f t="shared" si="47"/>
        <v>1.0960000000000001</v>
      </c>
      <c r="H313" s="388">
        <f t="shared" si="46"/>
        <v>150291</v>
      </c>
      <c r="I313" s="387">
        <f>Дефляторы!$D$262</f>
        <v>1.048</v>
      </c>
      <c r="J313" s="388">
        <f t="shared" si="50"/>
        <v>157505</v>
      </c>
      <c r="K313" s="388">
        <f t="shared" si="51"/>
        <v>155341</v>
      </c>
      <c r="L313" s="194"/>
      <c r="M313" s="194"/>
      <c r="N313" s="194"/>
    </row>
    <row r="314" spans="1:14" s="373" customFormat="1" ht="15.75" hidden="1" outlineLevel="2" x14ac:dyDescent="0.2">
      <c r="A314" s="208" t="s">
        <v>1188</v>
      </c>
      <c r="B314" s="100" t="s">
        <v>199</v>
      </c>
      <c r="C314" s="100" t="s">
        <v>200</v>
      </c>
      <c r="D314" s="383" t="s">
        <v>250</v>
      </c>
      <c r="E314" s="277">
        <v>1</v>
      </c>
      <c r="F314" s="277">
        <f>'Затраты подрядчика'!L90</f>
        <v>27068</v>
      </c>
      <c r="G314" s="299">
        <f t="shared" si="47"/>
        <v>1.0960000000000001</v>
      </c>
      <c r="H314" s="339">
        <f t="shared" si="46"/>
        <v>29667</v>
      </c>
      <c r="I314" s="299">
        <f>Дефляторы!$D$262</f>
        <v>1.048</v>
      </c>
      <c r="J314" s="339">
        <f t="shared" si="50"/>
        <v>31091</v>
      </c>
      <c r="K314" s="339">
        <f t="shared" si="51"/>
        <v>30664</v>
      </c>
      <c r="L314" s="372"/>
      <c r="M314" s="372"/>
      <c r="N314" s="372"/>
    </row>
    <row r="315" spans="1:14" s="373" customFormat="1" ht="15.75" hidden="1" outlineLevel="2" x14ac:dyDescent="0.2">
      <c r="A315" s="208" t="s">
        <v>1189</v>
      </c>
      <c r="B315" s="100" t="s">
        <v>201</v>
      </c>
      <c r="C315" s="100" t="s">
        <v>202</v>
      </c>
      <c r="D315" s="383" t="s">
        <v>250</v>
      </c>
      <c r="E315" s="277">
        <v>1</v>
      </c>
      <c r="F315" s="277">
        <f>'Затраты подрядчика'!L91</f>
        <v>27068</v>
      </c>
      <c r="G315" s="299">
        <f t="shared" si="47"/>
        <v>1.0960000000000001</v>
      </c>
      <c r="H315" s="339">
        <f t="shared" si="46"/>
        <v>29667</v>
      </c>
      <c r="I315" s="299">
        <f>Дефляторы!$D$262</f>
        <v>1.048</v>
      </c>
      <c r="J315" s="339">
        <f t="shared" si="50"/>
        <v>31091</v>
      </c>
      <c r="K315" s="339">
        <f t="shared" si="51"/>
        <v>30664</v>
      </c>
      <c r="L315" s="372"/>
      <c r="M315" s="372"/>
      <c r="N315" s="372"/>
    </row>
    <row r="316" spans="1:14" s="362" customFormat="1" ht="15.75" outlineLevel="1" collapsed="1" x14ac:dyDescent="0.2">
      <c r="A316" s="282" t="s">
        <v>299</v>
      </c>
      <c r="B316" s="283" t="s">
        <v>110</v>
      </c>
      <c r="C316" s="283" t="s">
        <v>1391</v>
      </c>
      <c r="D316" s="359" t="s">
        <v>250</v>
      </c>
      <c r="E316" s="154">
        <v>1</v>
      </c>
      <c r="F316" s="154">
        <f>F317+F318</f>
        <v>85343</v>
      </c>
      <c r="G316" s="296"/>
      <c r="H316" s="414">
        <f>H317+H318</f>
        <v>85708</v>
      </c>
      <c r="I316" s="414"/>
      <c r="J316" s="414">
        <f>J317+J318</f>
        <v>85866</v>
      </c>
      <c r="K316" s="414">
        <f>K317+K318</f>
        <v>85819</v>
      </c>
      <c r="L316" s="360"/>
      <c r="M316" s="360"/>
      <c r="N316" s="360"/>
    </row>
    <row r="317" spans="1:14" s="390" customFormat="1" ht="15.75" hidden="1" outlineLevel="2" x14ac:dyDescent="0.2">
      <c r="A317" s="357" t="s">
        <v>1323</v>
      </c>
      <c r="B317" s="132" t="s">
        <v>1315</v>
      </c>
      <c r="C317" s="132" t="s">
        <v>1317</v>
      </c>
      <c r="D317" s="315" t="s">
        <v>250</v>
      </c>
      <c r="E317" s="233">
        <v>1</v>
      </c>
      <c r="F317" s="233">
        <f>(11365+13093)*10.79*'Затраты подрядчика'!$S$83</f>
        <v>3800</v>
      </c>
      <c r="G317" s="387">
        <f>$G$327</f>
        <v>1.0960000000000001</v>
      </c>
      <c r="H317" s="388">
        <f t="shared" si="46"/>
        <v>4165</v>
      </c>
      <c r="I317" s="387">
        <f>Дефляторы!$D$197</f>
        <v>1.038</v>
      </c>
      <c r="J317" s="388">
        <f t="shared" si="50"/>
        <v>4323</v>
      </c>
      <c r="K317" s="388">
        <f t="shared" si="51"/>
        <v>4276</v>
      </c>
      <c r="L317" s="194"/>
      <c r="M317" s="194"/>
      <c r="N317" s="194"/>
    </row>
    <row r="318" spans="1:14" s="390" customFormat="1" ht="15.75" hidden="1" outlineLevel="2" x14ac:dyDescent="0.2">
      <c r="A318" s="357" t="s">
        <v>1324</v>
      </c>
      <c r="B318" s="132" t="s">
        <v>1316</v>
      </c>
      <c r="C318" s="132" t="s">
        <v>1318</v>
      </c>
      <c r="D318" s="315" t="s">
        <v>250</v>
      </c>
      <c r="E318" s="233">
        <v>1</v>
      </c>
      <c r="F318" s="233">
        <f>(444051+80760)*10.79*'Затраты подрядчика'!$S$83</f>
        <v>81543</v>
      </c>
      <c r="G318" s="387">
        <v>1</v>
      </c>
      <c r="H318" s="388">
        <f t="shared" si="46"/>
        <v>81543</v>
      </c>
      <c r="I318" s="387">
        <v>1</v>
      </c>
      <c r="J318" s="388">
        <f t="shared" si="50"/>
        <v>81543</v>
      </c>
      <c r="K318" s="388">
        <f t="shared" si="51"/>
        <v>81543</v>
      </c>
      <c r="L318" s="194"/>
      <c r="M318" s="194"/>
      <c r="N318" s="194"/>
    </row>
    <row r="319" spans="1:14" s="362" customFormat="1" ht="15.75" hidden="1" outlineLevel="1" collapsed="1" x14ac:dyDescent="0.2">
      <c r="A319" s="282" t="s">
        <v>1325</v>
      </c>
      <c r="B319" s="283"/>
      <c r="C319" s="283" t="s">
        <v>1209</v>
      </c>
      <c r="D319" s="405" t="s">
        <v>250</v>
      </c>
      <c r="E319" s="154">
        <v>1</v>
      </c>
      <c r="F319" s="154">
        <f>(F306+F310+F316)*2%</f>
        <v>13802</v>
      </c>
      <c r="G319" s="296">
        <f>$G$327</f>
        <v>1.0960000000000001</v>
      </c>
      <c r="H319" s="337">
        <f t="shared" si="46"/>
        <v>15127</v>
      </c>
      <c r="I319" s="296">
        <f>Дефляторы!$D$271</f>
        <v>1.0469999999999999</v>
      </c>
      <c r="J319" s="337">
        <f t="shared" si="50"/>
        <v>15838</v>
      </c>
      <c r="K319" s="337">
        <f t="shared" si="51"/>
        <v>15625</v>
      </c>
      <c r="L319" s="360"/>
      <c r="M319" s="360"/>
      <c r="N319" s="360"/>
    </row>
    <row r="320" spans="1:14" ht="15.75" hidden="1" x14ac:dyDescent="0.25">
      <c r="A320" s="318"/>
      <c r="B320" s="319"/>
      <c r="C320" s="320" t="s">
        <v>1233</v>
      </c>
      <c r="D320" s="319"/>
      <c r="E320" s="321"/>
      <c r="F320" s="326">
        <f>F6+F9+F305</f>
        <v>100922165</v>
      </c>
      <c r="G320" s="323"/>
      <c r="H320" s="326">
        <f>H6+H9+H305</f>
        <v>110067079</v>
      </c>
      <c r="I320" s="323"/>
      <c r="J320" s="326" t="e">
        <f>J6+J9+J305</f>
        <v>#REF!</v>
      </c>
      <c r="K320" s="326" t="e">
        <f>K6+K9+K305</f>
        <v>#REF!</v>
      </c>
    </row>
    <row r="321" spans="1:17" ht="15.75" hidden="1" x14ac:dyDescent="0.25">
      <c r="A321" s="324"/>
      <c r="B321" s="319"/>
      <c r="C321" s="320" t="s">
        <v>1234</v>
      </c>
      <c r="D321" s="319"/>
      <c r="E321" s="321"/>
      <c r="F321" s="322">
        <f>F320*0.2</f>
        <v>20184433</v>
      </c>
      <c r="G321" s="323"/>
      <c r="H321" s="322">
        <f>H320*0.2</f>
        <v>22013415.800000001</v>
      </c>
      <c r="I321" s="323"/>
      <c r="J321" s="322" t="e">
        <f>J320*0.2</f>
        <v>#REF!</v>
      </c>
      <c r="K321" s="322" t="e">
        <f>K320*0.2</f>
        <v>#REF!</v>
      </c>
    </row>
    <row r="322" spans="1:17" ht="15.75" hidden="1" x14ac:dyDescent="0.25">
      <c r="A322" s="324"/>
      <c r="B322" s="319"/>
      <c r="C322" s="320" t="s">
        <v>1235</v>
      </c>
      <c r="D322" s="319"/>
      <c r="E322" s="321"/>
      <c r="F322" s="322">
        <f>F320+F321</f>
        <v>121106598</v>
      </c>
      <c r="G322" s="323"/>
      <c r="H322" s="322">
        <f>H320+H321</f>
        <v>132080494.8</v>
      </c>
      <c r="I322" s="323"/>
      <c r="J322" s="322" t="e">
        <f>J320+J321</f>
        <v>#REF!</v>
      </c>
      <c r="K322" s="322" t="e">
        <f>K320+K321</f>
        <v>#REF!</v>
      </c>
    </row>
    <row r="323" spans="1:17" ht="15" hidden="1" x14ac:dyDescent="0.25">
      <c r="A323" s="207"/>
      <c r="B323" s="163"/>
      <c r="C323" s="164"/>
      <c r="D323" s="165"/>
      <c r="E323" s="166" t="s">
        <v>1238</v>
      </c>
      <c r="F323" s="166">
        <f>F320-'Затраты подрядчика'!M125</f>
        <v>9</v>
      </c>
    </row>
    <row r="324" spans="1:17" ht="15.75" hidden="1" x14ac:dyDescent="0.2">
      <c r="A324" s="402" t="s">
        <v>1412</v>
      </c>
      <c r="B324" s="281"/>
      <c r="C324" s="281" t="s">
        <v>1411</v>
      </c>
      <c r="D324" s="297" t="s">
        <v>250</v>
      </c>
      <c r="E324" s="364">
        <v>1</v>
      </c>
      <c r="F324" s="166"/>
    </row>
    <row r="325" spans="1:17" ht="15" x14ac:dyDescent="0.25">
      <c r="A325" s="207"/>
      <c r="B325" s="163"/>
      <c r="C325" s="164"/>
      <c r="D325" s="165"/>
      <c r="E325" s="166"/>
      <c r="F325" s="166"/>
    </row>
    <row r="326" spans="1:17" ht="15" hidden="1" x14ac:dyDescent="0.25">
      <c r="A326" s="207"/>
      <c r="B326" s="163"/>
      <c r="C326" s="164"/>
      <c r="D326" s="165"/>
      <c r="E326" s="166"/>
      <c r="F326" s="166"/>
      <c r="H326" s="336"/>
      <c r="J326" s="336"/>
      <c r="K326" s="355"/>
    </row>
    <row r="327" spans="1:17" ht="76.150000000000006" hidden="1" customHeight="1" x14ac:dyDescent="0.25">
      <c r="A327" s="621" t="s">
        <v>1249</v>
      </c>
      <c r="B327" s="621"/>
      <c r="C327" s="621"/>
      <c r="D327" s="333"/>
      <c r="F327" s="335"/>
      <c r="G327" s="334">
        <f>1.0312*1.0258*1.0358*1*1</f>
        <v>1.0960000000000001</v>
      </c>
      <c r="H327" s="292"/>
      <c r="I327" s="334"/>
      <c r="J327" s="292"/>
      <c r="K327" s="292"/>
    </row>
    <row r="328" spans="1:17" ht="15.75" hidden="1" x14ac:dyDescent="0.25">
      <c r="A328" s="335"/>
      <c r="B328" s="335"/>
      <c r="C328" s="335"/>
      <c r="D328" s="335"/>
      <c r="E328" s="335"/>
      <c r="F328" s="335"/>
      <c r="G328" s="292"/>
      <c r="H328" s="292"/>
      <c r="I328" s="292"/>
      <c r="J328" s="292"/>
      <c r="K328" s="292"/>
    </row>
    <row r="329" spans="1:17" ht="15.75" hidden="1" x14ac:dyDescent="0.25">
      <c r="A329" s="293" t="s">
        <v>1247</v>
      </c>
      <c r="B329" s="293"/>
      <c r="C329" s="293"/>
      <c r="D329" s="293"/>
      <c r="E329" s="293"/>
      <c r="F329" s="293"/>
      <c r="G329" s="292"/>
      <c r="H329" s="292"/>
      <c r="I329" s="292"/>
      <c r="J329" s="292"/>
      <c r="K329" s="292"/>
    </row>
    <row r="330" spans="1:17" ht="15.75" hidden="1" x14ac:dyDescent="0.25">
      <c r="A330" s="622" t="s">
        <v>1314</v>
      </c>
      <c r="B330" s="622"/>
      <c r="C330" s="622"/>
      <c r="D330" s="622"/>
      <c r="E330" s="622"/>
      <c r="F330" s="622"/>
      <c r="G330" s="292"/>
      <c r="H330" s="292"/>
      <c r="I330" s="292"/>
      <c r="J330" s="292"/>
      <c r="K330" s="292"/>
    </row>
    <row r="331" spans="1:17" ht="30.6" hidden="1" customHeight="1" x14ac:dyDescent="0.25">
      <c r="A331" s="622" t="s">
        <v>1248</v>
      </c>
      <c r="B331" s="622"/>
      <c r="C331" s="622"/>
      <c r="D331" s="622"/>
      <c r="E331" s="622"/>
      <c r="F331" s="622"/>
      <c r="G331" s="292"/>
      <c r="H331" s="292"/>
      <c r="I331" s="292"/>
      <c r="J331" s="292"/>
      <c r="K331" s="292"/>
    </row>
    <row r="332" spans="1:17" ht="15" hidden="1" x14ac:dyDescent="0.25">
      <c r="A332" s="207"/>
      <c r="B332" s="163"/>
      <c r="C332" s="164"/>
      <c r="D332" s="165"/>
      <c r="E332" s="166"/>
      <c r="F332" s="166"/>
    </row>
    <row r="333" spans="1:17" s="167" customFormat="1" ht="15" hidden="1" x14ac:dyDescent="0.25">
      <c r="A333" s="207"/>
      <c r="B333" s="163"/>
      <c r="C333" s="164"/>
      <c r="D333" s="165"/>
      <c r="E333" s="166"/>
      <c r="F333" s="166"/>
      <c r="H333"/>
      <c r="J333"/>
      <c r="K333"/>
      <c r="L333"/>
      <c r="M333"/>
      <c r="N333"/>
      <c r="O333"/>
      <c r="P333"/>
      <c r="Q333"/>
    </row>
    <row r="334" spans="1:17" s="167" customFormat="1" ht="15" hidden="1" x14ac:dyDescent="0.25">
      <c r="A334" s="207"/>
      <c r="B334" s="163"/>
      <c r="C334" s="164"/>
      <c r="D334" s="165"/>
      <c r="E334" s="166"/>
      <c r="F334" s="166"/>
      <c r="H334"/>
      <c r="J334"/>
      <c r="K334"/>
      <c r="L334"/>
      <c r="M334"/>
      <c r="N334"/>
      <c r="O334"/>
      <c r="P334"/>
      <c r="Q334"/>
    </row>
    <row r="335" spans="1:17" s="167" customFormat="1" ht="15" x14ac:dyDescent="0.25">
      <c r="A335" s="207"/>
      <c r="B335" s="163"/>
      <c r="C335" s="164"/>
      <c r="D335" s="165"/>
      <c r="E335" s="166"/>
      <c r="F335" s="166"/>
      <c r="H335"/>
      <c r="J335"/>
      <c r="K335"/>
      <c r="L335"/>
      <c r="M335"/>
      <c r="N335"/>
      <c r="O335"/>
      <c r="P335"/>
      <c r="Q335"/>
    </row>
    <row r="336" spans="1:17" s="167" customFormat="1" x14ac:dyDescent="0.2">
      <c r="A336" s="98"/>
      <c r="B336" t="s">
        <v>300</v>
      </c>
      <c r="C336"/>
      <c r="D336"/>
      <c r="H336"/>
      <c r="J336"/>
      <c r="K336"/>
      <c r="L336"/>
      <c r="M336"/>
      <c r="N336"/>
      <c r="O336"/>
      <c r="P336"/>
      <c r="Q336"/>
    </row>
    <row r="338" spans="1:17" s="167" customFormat="1" x14ac:dyDescent="0.2">
      <c r="A338" s="98"/>
      <c r="B338" t="s">
        <v>301</v>
      </c>
      <c r="C338"/>
      <c r="D338"/>
      <c r="H338"/>
      <c r="J338"/>
      <c r="K338"/>
      <c r="L338"/>
      <c r="M338"/>
      <c r="N338"/>
      <c r="O338"/>
      <c r="P338"/>
      <c r="Q338"/>
    </row>
  </sheetData>
  <mergeCells count="8">
    <mergeCell ref="L290:L291"/>
    <mergeCell ref="A327:C327"/>
    <mergeCell ref="A330:F330"/>
    <mergeCell ref="A331:F331"/>
    <mergeCell ref="A1:H1"/>
    <mergeCell ref="B2:H2"/>
    <mergeCell ref="L112:L113"/>
    <mergeCell ref="L194:L19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5"/>
  <sheetViews>
    <sheetView topLeftCell="A24" zoomScaleNormal="100" workbookViewId="0">
      <selection activeCell="B290" sqref="B290"/>
    </sheetView>
  </sheetViews>
  <sheetFormatPr defaultRowHeight="12.75" outlineLevelRow="1" x14ac:dyDescent="0.2"/>
  <cols>
    <col min="1" max="1" width="6.42578125" customWidth="1"/>
    <col min="2" max="2" width="56.85546875" customWidth="1"/>
    <col min="3" max="3" width="18.140625" customWidth="1"/>
    <col min="4" max="4" width="24" customWidth="1"/>
    <col min="5" max="5" width="18" customWidth="1"/>
    <col min="6" max="6" width="20.7109375" customWidth="1"/>
    <col min="7" max="7" width="29.140625" customWidth="1"/>
    <col min="9" max="9" width="10.140625" bestFit="1" customWidth="1"/>
  </cols>
  <sheetData>
    <row r="1" spans="1:9" ht="39.75" customHeight="1" x14ac:dyDescent="0.2">
      <c r="A1" s="629" t="s">
        <v>1251</v>
      </c>
      <c r="B1" s="629"/>
      <c r="C1" s="629"/>
      <c r="D1" s="629"/>
      <c r="E1" s="629"/>
      <c r="F1" s="629"/>
    </row>
    <row r="2" spans="1:9" ht="110.25" x14ac:dyDescent="0.2">
      <c r="A2" s="149" t="s">
        <v>1</v>
      </c>
      <c r="B2" s="150" t="s">
        <v>246</v>
      </c>
      <c r="C2" s="150" t="s">
        <v>1204</v>
      </c>
      <c r="D2" s="628" t="s">
        <v>1276</v>
      </c>
      <c r="E2" s="628"/>
      <c r="F2" s="628" t="s">
        <v>1406</v>
      </c>
    </row>
    <row r="3" spans="1:9" ht="15.75" x14ac:dyDescent="0.2">
      <c r="A3" s="149"/>
      <c r="B3" s="150"/>
      <c r="C3" s="150"/>
      <c r="D3" s="576" t="s">
        <v>963</v>
      </c>
      <c r="E3" s="576" t="s">
        <v>964</v>
      </c>
      <c r="F3" s="628"/>
    </row>
    <row r="4" spans="1:9" ht="15.75" x14ac:dyDescent="0.25">
      <c r="A4" s="577">
        <v>1</v>
      </c>
      <c r="B4" s="577">
        <v>2</v>
      </c>
      <c r="C4" s="578">
        <v>3</v>
      </c>
      <c r="D4" s="579">
        <v>4</v>
      </c>
      <c r="E4" s="579">
        <v>5</v>
      </c>
      <c r="F4" s="579">
        <v>6</v>
      </c>
    </row>
    <row r="5" spans="1:9" ht="15.75" x14ac:dyDescent="0.2">
      <c r="A5" s="209">
        <v>1</v>
      </c>
      <c r="B5" s="153" t="s">
        <v>249</v>
      </c>
      <c r="C5" s="154"/>
      <c r="D5" s="453">
        <f>ГПР!C7</f>
        <v>44119</v>
      </c>
      <c r="E5" s="453">
        <f>ГПР!D7</f>
        <v>44317</v>
      </c>
      <c r="F5" s="575">
        <f>(E5-D5)/30.5</f>
        <v>6.5</v>
      </c>
      <c r="G5" s="219"/>
      <c r="I5" s="219"/>
    </row>
    <row r="6" spans="1:9" ht="31.5" outlineLevel="1" x14ac:dyDescent="0.2">
      <c r="A6" s="206" t="s">
        <v>251</v>
      </c>
      <c r="B6" s="156" t="s">
        <v>252</v>
      </c>
      <c r="C6" s="277"/>
      <c r="D6" s="346">
        <f>D5</f>
        <v>44119</v>
      </c>
      <c r="E6" s="346">
        <f>E5</f>
        <v>44317</v>
      </c>
      <c r="F6" s="459">
        <f>(E6-D6)/30.5</f>
        <v>6.5</v>
      </c>
    </row>
    <row r="7" spans="1:9" ht="15.75" outlineLevel="1" x14ac:dyDescent="0.2">
      <c r="A7" s="206" t="s">
        <v>961</v>
      </c>
      <c r="B7" s="100" t="s">
        <v>1209</v>
      </c>
      <c r="C7" s="574"/>
      <c r="D7" s="346">
        <f>D5</f>
        <v>44119</v>
      </c>
      <c r="E7" s="346">
        <f>E5</f>
        <v>44317</v>
      </c>
      <c r="F7" s="459">
        <f>(E7-D7)/30.5</f>
        <v>6.5</v>
      </c>
    </row>
    <row r="8" spans="1:9" ht="15.75" outlineLevel="1" x14ac:dyDescent="0.25">
      <c r="A8" s="206"/>
      <c r="B8" s="567" t="s">
        <v>1396</v>
      </c>
      <c r="C8" s="567"/>
      <c r="D8" s="567"/>
      <c r="E8" s="567"/>
      <c r="F8" s="182"/>
    </row>
    <row r="9" spans="1:9" ht="30" outlineLevel="1" x14ac:dyDescent="0.25">
      <c r="A9" s="206"/>
      <c r="B9" s="564" t="s">
        <v>1485</v>
      </c>
      <c r="C9" s="564" t="s">
        <v>1487</v>
      </c>
      <c r="D9" s="565">
        <f>2.5/6.5</f>
        <v>0.38</v>
      </c>
      <c r="E9" s="567"/>
      <c r="F9" s="182"/>
    </row>
    <row r="10" spans="1:9" ht="30" outlineLevel="1" x14ac:dyDescent="0.25">
      <c r="A10" s="206"/>
      <c r="B10" s="564" t="s">
        <v>1486</v>
      </c>
      <c r="C10" s="564" t="s">
        <v>1488</v>
      </c>
      <c r="D10" s="565">
        <f>4/6.5</f>
        <v>0.62</v>
      </c>
      <c r="E10" s="567"/>
      <c r="F10" s="182"/>
    </row>
    <row r="11" spans="1:9" ht="45" outlineLevel="1" x14ac:dyDescent="0.25">
      <c r="A11" s="206"/>
      <c r="B11" s="564" t="s">
        <v>1395</v>
      </c>
      <c r="C11" s="564"/>
      <c r="D11" s="565"/>
      <c r="E11" s="567"/>
      <c r="F11" s="182"/>
    </row>
    <row r="12" spans="1:9" ht="15.75" outlineLevel="1" x14ac:dyDescent="0.25">
      <c r="A12" s="206"/>
      <c r="B12" s="564" t="s">
        <v>1397</v>
      </c>
      <c r="C12" s="564"/>
      <c r="D12" s="568">
        <v>1.036</v>
      </c>
      <c r="E12" s="567"/>
      <c r="F12" s="182"/>
    </row>
    <row r="13" spans="1:9" ht="15.75" outlineLevel="1" x14ac:dyDescent="0.25">
      <c r="A13" s="206"/>
      <c r="B13" s="564" t="s">
        <v>1398</v>
      </c>
      <c r="C13" s="564"/>
      <c r="D13" s="568">
        <v>1.0369999999999999</v>
      </c>
      <c r="E13" s="567"/>
      <c r="F13" s="182"/>
    </row>
    <row r="14" spans="1:9" ht="15.75" outlineLevel="1" x14ac:dyDescent="0.25">
      <c r="A14" s="206"/>
      <c r="B14" s="564" t="s">
        <v>1407</v>
      </c>
      <c r="C14" s="564"/>
      <c r="D14" s="568">
        <v>1.0369999999999999</v>
      </c>
      <c r="E14" s="567"/>
      <c r="F14" s="182"/>
    </row>
    <row r="15" spans="1:9" ht="15.75" outlineLevel="1" x14ac:dyDescent="0.25">
      <c r="A15" s="206"/>
      <c r="B15" s="564" t="s">
        <v>1399</v>
      </c>
      <c r="C15" s="564"/>
      <c r="D15" s="565"/>
      <c r="E15" s="567"/>
      <c r="F15" s="182"/>
    </row>
    <row r="16" spans="1:9" ht="15.75" outlineLevel="1" x14ac:dyDescent="0.25">
      <c r="A16" s="206"/>
      <c r="B16" s="564" t="s">
        <v>1400</v>
      </c>
      <c r="C16" s="564"/>
      <c r="D16" s="569">
        <f>1.00295</f>
        <v>1.00295</v>
      </c>
      <c r="E16" s="567"/>
      <c r="F16" s="182"/>
    </row>
    <row r="17" spans="1:7" ht="15.75" outlineLevel="1" x14ac:dyDescent="0.25">
      <c r="A17" s="206"/>
      <c r="B17" s="564" t="s">
        <v>1401</v>
      </c>
      <c r="C17" s="564"/>
      <c r="D17" s="569">
        <f>1.00303</f>
        <v>1.0030300000000001</v>
      </c>
      <c r="E17" s="567"/>
      <c r="F17" s="182"/>
    </row>
    <row r="18" spans="1:7" ht="15.75" outlineLevel="1" x14ac:dyDescent="0.25">
      <c r="A18" s="206"/>
      <c r="B18" s="564" t="s">
        <v>1409</v>
      </c>
      <c r="C18" s="564"/>
      <c r="D18" s="569">
        <f>1.00303</f>
        <v>1.0030300000000001</v>
      </c>
      <c r="E18" s="567"/>
      <c r="F18" s="182"/>
    </row>
    <row r="19" spans="1:7" ht="30" outlineLevel="1" x14ac:dyDescent="0.25">
      <c r="A19" s="206"/>
      <c r="B19" s="564" t="s">
        <v>1489</v>
      </c>
      <c r="C19" s="570" t="s">
        <v>1494</v>
      </c>
      <c r="D19" s="571">
        <f>D16^1.5*(D16^1+D16^2.5)/2</f>
        <v>1.01</v>
      </c>
      <c r="E19" s="567"/>
      <c r="F19" s="182"/>
    </row>
    <row r="20" spans="1:7" ht="30" outlineLevel="1" x14ac:dyDescent="0.25">
      <c r="A20" s="206"/>
      <c r="B20" s="564" t="s">
        <v>1402</v>
      </c>
      <c r="C20" s="564" t="s">
        <v>1493</v>
      </c>
      <c r="D20" s="572">
        <f>D16^4*(D17+D17^4)/2</f>
        <v>1.02</v>
      </c>
      <c r="E20" s="567"/>
      <c r="F20" s="182"/>
    </row>
    <row r="21" spans="1:7" ht="30" outlineLevel="1" x14ac:dyDescent="0.25">
      <c r="A21" s="206"/>
      <c r="B21" s="564" t="s">
        <v>1403</v>
      </c>
      <c r="C21" s="564" t="s">
        <v>1490</v>
      </c>
      <c r="D21" s="573">
        <f>0.38*D19+0.62*D20</f>
        <v>1.016</v>
      </c>
      <c r="E21" s="567"/>
      <c r="F21" s="182"/>
    </row>
    <row r="22" spans="1:7" ht="31.5" x14ac:dyDescent="0.2">
      <c r="A22" s="210" t="s">
        <v>253</v>
      </c>
      <c r="B22" s="153" t="s">
        <v>254</v>
      </c>
      <c r="C22" s="154"/>
      <c r="D22" s="453">
        <f>ГПР!C9</f>
        <v>44317</v>
      </c>
      <c r="E22" s="453">
        <f>ГПР!D12</f>
        <v>44805</v>
      </c>
      <c r="F22" s="476">
        <f>(E22-D22)/30.5</f>
        <v>16</v>
      </c>
    </row>
    <row r="23" spans="1:7" s="98" customFormat="1" ht="30" x14ac:dyDescent="0.25">
      <c r="A23" s="563"/>
      <c r="B23" s="564" t="s">
        <v>1394</v>
      </c>
      <c r="C23" s="564" t="s">
        <v>1491</v>
      </c>
      <c r="D23" s="565">
        <f>8/16</f>
        <v>0.5</v>
      </c>
      <c r="E23" s="452"/>
      <c r="F23" s="562"/>
    </row>
    <row r="24" spans="1:7" s="98" customFormat="1" ht="30" x14ac:dyDescent="0.25">
      <c r="A24" s="563"/>
      <c r="B24" s="564" t="s">
        <v>1408</v>
      </c>
      <c r="C24" s="564" t="s">
        <v>1491</v>
      </c>
      <c r="D24" s="565">
        <f>8/16</f>
        <v>0.5</v>
      </c>
      <c r="E24" s="452"/>
      <c r="F24" s="562"/>
    </row>
    <row r="25" spans="1:7" s="98" customFormat="1" ht="63" x14ac:dyDescent="0.25">
      <c r="A25" s="563"/>
      <c r="B25" s="564" t="s">
        <v>1402</v>
      </c>
      <c r="C25" s="456" t="s">
        <v>1492</v>
      </c>
      <c r="D25" s="566">
        <f>D16^4*D17^4*(D17+D17^8)/2</f>
        <v>1.038</v>
      </c>
      <c r="E25" s="452"/>
      <c r="F25" s="562"/>
    </row>
    <row r="26" spans="1:7" s="98" customFormat="1" ht="63" x14ac:dyDescent="0.25">
      <c r="A26" s="563"/>
      <c r="B26" s="564" t="s">
        <v>1410</v>
      </c>
      <c r="C26" s="456" t="s">
        <v>1495</v>
      </c>
      <c r="D26" s="566">
        <f>D16^4*D17^12*(D18+D18^8)/2</f>
        <v>1.0640000000000001</v>
      </c>
      <c r="E26" s="452"/>
      <c r="F26" s="562"/>
    </row>
    <row r="27" spans="1:7" ht="47.25" x14ac:dyDescent="0.2">
      <c r="A27" s="256"/>
      <c r="B27" s="457" t="s">
        <v>1403</v>
      </c>
      <c r="C27" s="456" t="s">
        <v>1496</v>
      </c>
      <c r="D27" s="458">
        <f>D23*D25+D24*D26</f>
        <v>1.0509999999999999</v>
      </c>
      <c r="E27" s="452"/>
      <c r="F27" s="455"/>
      <c r="G27" s="460"/>
    </row>
    <row r="28" spans="1:7" ht="15.75" hidden="1" outlineLevel="1" x14ac:dyDescent="0.2">
      <c r="A28" s="256"/>
      <c r="B28" s="284"/>
      <c r="C28" s="277"/>
      <c r="D28" s="452"/>
      <c r="E28" s="452"/>
      <c r="F28" s="455"/>
    </row>
    <row r="29" spans="1:7" ht="15.75" hidden="1" outlineLevel="1" x14ac:dyDescent="0.2">
      <c r="A29" s="256"/>
      <c r="B29" s="284"/>
      <c r="C29" s="277"/>
      <c r="D29" s="452"/>
      <c r="E29" s="452"/>
      <c r="F29" s="455"/>
    </row>
    <row r="30" spans="1:7" ht="15.75" hidden="1" outlineLevel="1" x14ac:dyDescent="0.2">
      <c r="A30" s="256"/>
      <c r="B30" s="284"/>
      <c r="C30" s="277"/>
      <c r="D30" s="452"/>
      <c r="E30" s="452"/>
      <c r="F30" s="455"/>
    </row>
    <row r="31" spans="1:7" ht="15.75" hidden="1" outlineLevel="1" x14ac:dyDescent="0.2">
      <c r="A31" s="256"/>
      <c r="B31" s="284"/>
      <c r="C31" s="277"/>
      <c r="D31" s="452"/>
      <c r="E31" s="452"/>
      <c r="F31" s="455"/>
    </row>
    <row r="32" spans="1:7" ht="15.75" hidden="1" outlineLevel="1" x14ac:dyDescent="0.2">
      <c r="A32" s="256"/>
      <c r="B32" s="284"/>
      <c r="C32" s="277"/>
      <c r="D32" s="452"/>
      <c r="E32" s="452"/>
      <c r="F32" s="455"/>
    </row>
    <row r="33" spans="1:6" ht="15.75" hidden="1" outlineLevel="1" x14ac:dyDescent="0.2">
      <c r="A33" s="256"/>
      <c r="B33" s="284"/>
      <c r="C33" s="277"/>
      <c r="D33" s="452"/>
      <c r="E33" s="452"/>
      <c r="F33" s="455"/>
    </row>
    <row r="34" spans="1:6" ht="15.75" hidden="1" outlineLevel="1" x14ac:dyDescent="0.2">
      <c r="A34" s="256"/>
      <c r="B34" s="284"/>
      <c r="C34" s="277"/>
      <c r="D34" s="452"/>
      <c r="E34" s="452"/>
      <c r="F34" s="455"/>
    </row>
    <row r="35" spans="1:6" ht="15.75" hidden="1" outlineLevel="1" x14ac:dyDescent="0.2">
      <c r="A35" s="256"/>
      <c r="B35" s="284"/>
      <c r="C35" s="277"/>
      <c r="D35" s="452"/>
      <c r="E35" s="452"/>
      <c r="F35" s="455"/>
    </row>
    <row r="36" spans="1:6" ht="15.75" hidden="1" outlineLevel="1" x14ac:dyDescent="0.2">
      <c r="A36" s="256"/>
      <c r="B36" s="284"/>
      <c r="C36" s="277"/>
      <c r="D36" s="452"/>
      <c r="E36" s="452"/>
      <c r="F36" s="455"/>
    </row>
    <row r="37" spans="1:6" ht="15.75" hidden="1" outlineLevel="1" x14ac:dyDescent="0.2">
      <c r="A37" s="256"/>
      <c r="B37" s="284"/>
      <c r="C37" s="277"/>
      <c r="D37" s="452"/>
      <c r="E37" s="452"/>
      <c r="F37" s="455"/>
    </row>
    <row r="38" spans="1:6" ht="15.75" hidden="1" outlineLevel="1" x14ac:dyDescent="0.2">
      <c r="A38" s="256"/>
      <c r="B38" s="284"/>
      <c r="C38" s="277"/>
      <c r="D38" s="452"/>
      <c r="E38" s="452"/>
      <c r="F38" s="455"/>
    </row>
    <row r="39" spans="1:6" ht="15.75" hidden="1" outlineLevel="1" x14ac:dyDescent="0.2">
      <c r="A39" s="256"/>
      <c r="B39" s="284"/>
      <c r="C39" s="277"/>
      <c r="D39" s="452"/>
      <c r="E39" s="452"/>
      <c r="F39" s="455"/>
    </row>
    <row r="40" spans="1:6" ht="15.75" hidden="1" outlineLevel="1" x14ac:dyDescent="0.2">
      <c r="A40" s="256"/>
      <c r="B40" s="284"/>
      <c r="C40" s="277"/>
      <c r="D40" s="452"/>
      <c r="E40" s="452"/>
      <c r="F40" s="455"/>
    </row>
    <row r="41" spans="1:6" ht="15.75" hidden="1" outlineLevel="1" x14ac:dyDescent="0.2">
      <c r="A41" s="256"/>
      <c r="B41" s="284"/>
      <c r="C41" s="277"/>
      <c r="D41" s="452"/>
      <c r="E41" s="452"/>
      <c r="F41" s="455"/>
    </row>
    <row r="42" spans="1:6" ht="15.75" hidden="1" outlineLevel="1" x14ac:dyDescent="0.2">
      <c r="A42" s="256"/>
      <c r="B42" s="284"/>
      <c r="C42" s="277"/>
      <c r="D42" s="452"/>
      <c r="E42" s="452"/>
      <c r="F42" s="455"/>
    </row>
    <row r="43" spans="1:6" ht="15.75" hidden="1" outlineLevel="1" x14ac:dyDescent="0.2">
      <c r="A43" s="256"/>
      <c r="B43" s="284"/>
      <c r="C43" s="277"/>
      <c r="D43" s="452"/>
      <c r="E43" s="452"/>
      <c r="F43" s="455"/>
    </row>
    <row r="44" spans="1:6" ht="15.75" hidden="1" outlineLevel="1" x14ac:dyDescent="0.2">
      <c r="A44" s="256"/>
      <c r="B44" s="284"/>
      <c r="C44" s="277"/>
      <c r="D44" s="452"/>
      <c r="E44" s="452"/>
      <c r="F44" s="455"/>
    </row>
    <row r="45" spans="1:6" ht="31.5" hidden="1" outlineLevel="1" x14ac:dyDescent="0.2">
      <c r="A45" s="256" t="s">
        <v>255</v>
      </c>
      <c r="B45" s="284" t="s">
        <v>966</v>
      </c>
      <c r="C45" s="277">
        <v>2566181</v>
      </c>
      <c r="D45" s="452">
        <f>D22</f>
        <v>44317</v>
      </c>
      <c r="E45" s="452">
        <v>44378</v>
      </c>
      <c r="F45" s="455">
        <f t="shared" ref="F45:F254" si="0">E45-D45</f>
        <v>61</v>
      </c>
    </row>
    <row r="46" spans="1:6" ht="15.75" hidden="1" outlineLevel="1" x14ac:dyDescent="0.25">
      <c r="A46" s="256"/>
      <c r="B46" s="341" t="s">
        <v>1253</v>
      </c>
      <c r="C46" s="342"/>
      <c r="D46" s="342"/>
      <c r="E46" s="346"/>
      <c r="F46" s="182"/>
    </row>
    <row r="47" spans="1:6" ht="15.75" hidden="1" outlineLevel="1" x14ac:dyDescent="0.25">
      <c r="A47" s="256"/>
      <c r="B47" s="341" t="s">
        <v>1254</v>
      </c>
      <c r="C47" s="342"/>
      <c r="D47" s="342"/>
      <c r="E47" s="346"/>
      <c r="F47" s="182"/>
    </row>
    <row r="48" spans="1:6" ht="15.75" hidden="1" outlineLevel="1" x14ac:dyDescent="0.25">
      <c r="A48" s="256"/>
      <c r="B48" s="341" t="s">
        <v>1255</v>
      </c>
      <c r="C48" s="340"/>
      <c r="D48" s="350">
        <v>103.6</v>
      </c>
      <c r="E48" s="346"/>
      <c r="F48" s="182"/>
    </row>
    <row r="49" spans="1:6" ht="15.75" hidden="1" outlineLevel="1" x14ac:dyDescent="0.25">
      <c r="A49" s="256"/>
      <c r="B49" s="341" t="s">
        <v>1257</v>
      </c>
      <c r="C49" s="343" t="s">
        <v>1268</v>
      </c>
      <c r="D49" s="345">
        <f>(D48-100)/12*7/100+1</f>
        <v>1.0209999999999999</v>
      </c>
      <c r="E49" s="346"/>
      <c r="F49" s="182"/>
    </row>
    <row r="50" spans="1:6" ht="15.75" hidden="1" outlineLevel="1" x14ac:dyDescent="0.25">
      <c r="A50" s="256"/>
      <c r="B50" s="341" t="s">
        <v>1259</v>
      </c>
      <c r="C50" s="343">
        <v>103.7</v>
      </c>
      <c r="D50" s="345"/>
      <c r="E50" s="346"/>
      <c r="F50" s="182"/>
    </row>
    <row r="51" spans="1:6" ht="15.75" hidden="1" outlineLevel="1" x14ac:dyDescent="0.25">
      <c r="A51" s="256"/>
      <c r="B51" s="341" t="s">
        <v>1286</v>
      </c>
      <c r="C51" s="344" t="s">
        <v>1260</v>
      </c>
      <c r="D51" s="345">
        <f>(C50-100)/12*3/100+1</f>
        <v>1.0089999999999999</v>
      </c>
      <c r="E51" s="346"/>
      <c r="F51" s="182"/>
    </row>
    <row r="52" spans="1:6" ht="15.75" hidden="1" outlineLevel="1" x14ac:dyDescent="0.25">
      <c r="A52" s="256"/>
      <c r="B52" s="341" t="s">
        <v>1287</v>
      </c>
      <c r="C52" s="344" t="s">
        <v>1270</v>
      </c>
      <c r="D52" s="345">
        <f>(C50-100)/12*5/100+1</f>
        <v>1.0149999999999999</v>
      </c>
      <c r="E52" s="346"/>
      <c r="F52" s="182"/>
    </row>
    <row r="53" spans="1:6" ht="30" hidden="1" outlineLevel="1" x14ac:dyDescent="0.25">
      <c r="A53" s="256"/>
      <c r="B53" s="341" t="s">
        <v>1288</v>
      </c>
      <c r="C53" s="352" t="s">
        <v>1289</v>
      </c>
      <c r="D53" s="351">
        <f>D49*(D51+D52)/2</f>
        <v>1.0329999999999999</v>
      </c>
      <c r="E53" s="346"/>
      <c r="F53" s="182"/>
    </row>
    <row r="54" spans="1:6" ht="31.5" hidden="1" outlineLevel="1" x14ac:dyDescent="0.2">
      <c r="A54" s="256" t="s">
        <v>259</v>
      </c>
      <c r="B54" s="161" t="s">
        <v>968</v>
      </c>
      <c r="C54" s="158">
        <v>5903129</v>
      </c>
      <c r="D54" s="346">
        <f>E45</f>
        <v>44378</v>
      </c>
      <c r="E54" s="346">
        <v>44409</v>
      </c>
      <c r="F54" s="182">
        <f t="shared" si="0"/>
        <v>31</v>
      </c>
    </row>
    <row r="55" spans="1:6" ht="15.75" hidden="1" outlineLevel="1" x14ac:dyDescent="0.25">
      <c r="A55" s="256"/>
      <c r="B55" s="341" t="s">
        <v>1253</v>
      </c>
      <c r="C55" s="342"/>
      <c r="D55" s="342"/>
      <c r="E55" s="346"/>
      <c r="F55" s="182"/>
    </row>
    <row r="56" spans="1:6" ht="15.75" hidden="1" outlineLevel="1" x14ac:dyDescent="0.25">
      <c r="A56" s="256"/>
      <c r="B56" s="341" t="s">
        <v>1254</v>
      </c>
      <c r="C56" s="342"/>
      <c r="D56" s="342"/>
      <c r="E56" s="346"/>
      <c r="F56" s="182"/>
    </row>
    <row r="57" spans="1:6" ht="15.75" hidden="1" outlineLevel="1" x14ac:dyDescent="0.25">
      <c r="A57" s="256"/>
      <c r="B57" s="341" t="s">
        <v>1255</v>
      </c>
      <c r="C57" s="340"/>
      <c r="D57" s="350">
        <v>103.6</v>
      </c>
      <c r="E57" s="346"/>
      <c r="F57" s="182"/>
    </row>
    <row r="58" spans="1:6" ht="15.75" hidden="1" outlineLevel="1" x14ac:dyDescent="0.25">
      <c r="A58" s="256"/>
      <c r="B58" s="341" t="s">
        <v>1257</v>
      </c>
      <c r="C58" s="343" t="s">
        <v>1268</v>
      </c>
      <c r="D58" s="345">
        <f>(D57-100)/12*7/100+1</f>
        <v>1.0209999999999999</v>
      </c>
      <c r="E58" s="346"/>
      <c r="F58" s="182"/>
    </row>
    <row r="59" spans="1:6" ht="15.75" hidden="1" outlineLevel="1" x14ac:dyDescent="0.25">
      <c r="A59" s="256"/>
      <c r="B59" s="341" t="s">
        <v>1259</v>
      </c>
      <c r="C59" s="343">
        <v>103.7</v>
      </c>
      <c r="D59" s="345"/>
      <c r="E59" s="346"/>
      <c r="F59" s="182"/>
    </row>
    <row r="60" spans="1:6" ht="15.75" hidden="1" outlineLevel="1" x14ac:dyDescent="0.25">
      <c r="A60" s="256"/>
      <c r="B60" s="341" t="s">
        <v>1287</v>
      </c>
      <c r="C60" s="344" t="s">
        <v>1270</v>
      </c>
      <c r="D60" s="345">
        <f>(C59-100)/12*5/100+1</f>
        <v>1.0149999999999999</v>
      </c>
      <c r="E60" s="346"/>
      <c r="F60" s="182"/>
    </row>
    <row r="61" spans="1:6" ht="15.75" hidden="1" outlineLevel="1" x14ac:dyDescent="0.25">
      <c r="A61" s="256"/>
      <c r="B61" s="341" t="s">
        <v>1290</v>
      </c>
      <c r="C61" s="344" t="s">
        <v>1291</v>
      </c>
      <c r="D61" s="345">
        <f>(C59-100)/12*6/100+1</f>
        <v>1.0189999999999999</v>
      </c>
      <c r="E61" s="346"/>
      <c r="F61" s="182"/>
    </row>
    <row r="62" spans="1:6" ht="30" hidden="1" outlineLevel="1" x14ac:dyDescent="0.25">
      <c r="A62" s="256"/>
      <c r="B62" s="341" t="s">
        <v>1288</v>
      </c>
      <c r="C62" s="352" t="s">
        <v>1297</v>
      </c>
      <c r="D62" s="351">
        <f>D58*(D60+D61)/2</f>
        <v>1.038</v>
      </c>
      <c r="E62" s="346"/>
      <c r="F62" s="182"/>
    </row>
    <row r="63" spans="1:6" ht="15.75" hidden="1" outlineLevel="1" x14ac:dyDescent="0.2">
      <c r="A63" s="257" t="s">
        <v>277</v>
      </c>
      <c r="B63" s="254" t="s">
        <v>972</v>
      </c>
      <c r="C63" s="158">
        <v>4169179</v>
      </c>
      <c r="D63" s="346">
        <f>E45</f>
        <v>44378</v>
      </c>
      <c r="E63" s="346">
        <f>E54</f>
        <v>44409</v>
      </c>
      <c r="F63" s="182">
        <f t="shared" si="0"/>
        <v>31</v>
      </c>
    </row>
    <row r="64" spans="1:6" ht="15.75" hidden="1" outlineLevel="1" x14ac:dyDescent="0.25">
      <c r="A64" s="258"/>
      <c r="B64" s="341" t="s">
        <v>1253</v>
      </c>
      <c r="C64" s="342"/>
      <c r="D64" s="342"/>
      <c r="E64" s="346"/>
      <c r="F64" s="182"/>
    </row>
    <row r="65" spans="1:6" ht="15.75" hidden="1" outlineLevel="1" x14ac:dyDescent="0.25">
      <c r="A65" s="258"/>
      <c r="B65" s="341" t="s">
        <v>1254</v>
      </c>
      <c r="C65" s="342"/>
      <c r="D65" s="342"/>
      <c r="E65" s="346"/>
      <c r="F65" s="182"/>
    </row>
    <row r="66" spans="1:6" ht="15.75" hidden="1" outlineLevel="1" x14ac:dyDescent="0.25">
      <c r="A66" s="258"/>
      <c r="B66" s="341" t="s">
        <v>1255</v>
      </c>
      <c r="C66" s="340"/>
      <c r="D66" s="350">
        <v>103.6</v>
      </c>
      <c r="E66" s="346"/>
      <c r="F66" s="182"/>
    </row>
    <row r="67" spans="1:6" ht="15.75" hidden="1" outlineLevel="1" x14ac:dyDescent="0.25">
      <c r="A67" s="258"/>
      <c r="B67" s="341" t="s">
        <v>1257</v>
      </c>
      <c r="C67" s="343" t="s">
        <v>1268</v>
      </c>
      <c r="D67" s="345">
        <f>(D66-100)/12*7/100+1</f>
        <v>1.0209999999999999</v>
      </c>
      <c r="E67" s="346"/>
      <c r="F67" s="182"/>
    </row>
    <row r="68" spans="1:6" ht="15.75" hidden="1" outlineLevel="1" x14ac:dyDescent="0.25">
      <c r="A68" s="258"/>
      <c r="B68" s="341" t="s">
        <v>1259</v>
      </c>
      <c r="C68" s="343">
        <v>103.7</v>
      </c>
      <c r="D68" s="345"/>
      <c r="E68" s="346"/>
      <c r="F68" s="182"/>
    </row>
    <row r="69" spans="1:6" ht="15.75" hidden="1" outlineLevel="1" x14ac:dyDescent="0.25">
      <c r="A69" s="258"/>
      <c r="B69" s="341" t="s">
        <v>1292</v>
      </c>
      <c r="C69" s="344" t="s">
        <v>1270</v>
      </c>
      <c r="D69" s="345">
        <f>(C68-100)/12*5/100+1</f>
        <v>1.0149999999999999</v>
      </c>
      <c r="E69" s="346"/>
      <c r="F69" s="182"/>
    </row>
    <row r="70" spans="1:6" ht="15.75" hidden="1" outlineLevel="1" x14ac:dyDescent="0.25">
      <c r="A70" s="258"/>
      <c r="B70" s="341" t="s">
        <v>1293</v>
      </c>
      <c r="C70" s="344" t="s">
        <v>1291</v>
      </c>
      <c r="D70" s="345">
        <f>(C68-100)/12*6/100+1</f>
        <v>1.0189999999999999</v>
      </c>
      <c r="E70" s="346"/>
      <c r="F70" s="182"/>
    </row>
    <row r="71" spans="1:6" ht="30" hidden="1" outlineLevel="1" x14ac:dyDescent="0.25">
      <c r="A71" s="258"/>
      <c r="B71" s="341" t="s">
        <v>1288</v>
      </c>
      <c r="C71" s="352" t="s">
        <v>1297</v>
      </c>
      <c r="D71" s="351">
        <f>D67*(D69+D70)/2</f>
        <v>1.038</v>
      </c>
      <c r="E71" s="346"/>
      <c r="F71" s="182"/>
    </row>
    <row r="72" spans="1:6" ht="25.5" hidden="1" outlineLevel="1" x14ac:dyDescent="0.2">
      <c r="A72" s="258" t="s">
        <v>281</v>
      </c>
      <c r="B72" s="253" t="s">
        <v>978</v>
      </c>
      <c r="C72" s="162">
        <v>7205119</v>
      </c>
      <c r="D72" s="346">
        <v>44392</v>
      </c>
      <c r="E72" s="346">
        <v>44423</v>
      </c>
      <c r="F72" s="182">
        <f t="shared" si="0"/>
        <v>31</v>
      </c>
    </row>
    <row r="73" spans="1:6" ht="15.75" hidden="1" outlineLevel="1" x14ac:dyDescent="0.25">
      <c r="A73" s="258"/>
      <c r="B73" s="341" t="s">
        <v>1253</v>
      </c>
      <c r="C73" s="342"/>
      <c r="D73" s="342"/>
      <c r="E73" s="346"/>
      <c r="F73" s="182"/>
    </row>
    <row r="74" spans="1:6" ht="15.75" hidden="1" outlineLevel="1" x14ac:dyDescent="0.25">
      <c r="A74" s="258"/>
      <c r="B74" s="341" t="s">
        <v>1254</v>
      </c>
      <c r="C74" s="342"/>
      <c r="D74" s="342"/>
      <c r="E74" s="346"/>
      <c r="F74" s="182"/>
    </row>
    <row r="75" spans="1:6" ht="15.75" hidden="1" outlineLevel="1" x14ac:dyDescent="0.25">
      <c r="A75" s="258"/>
      <c r="B75" s="341" t="s">
        <v>1255</v>
      </c>
      <c r="C75" s="340"/>
      <c r="D75" s="350">
        <v>103.6</v>
      </c>
      <c r="E75" s="346"/>
      <c r="F75" s="182"/>
    </row>
    <row r="76" spans="1:6" ht="15.75" hidden="1" outlineLevel="1" x14ac:dyDescent="0.25">
      <c r="A76" s="258"/>
      <c r="B76" s="341" t="s">
        <v>1257</v>
      </c>
      <c r="C76" s="343" t="s">
        <v>1268</v>
      </c>
      <c r="D76" s="345">
        <f>(D75-100)/12*7/100+1</f>
        <v>1.0209999999999999</v>
      </c>
      <c r="E76" s="346"/>
      <c r="F76" s="182"/>
    </row>
    <row r="77" spans="1:6" ht="15.75" hidden="1" outlineLevel="1" x14ac:dyDescent="0.25">
      <c r="A77" s="258"/>
      <c r="B77" s="341" t="s">
        <v>1259</v>
      </c>
      <c r="C77" s="343">
        <v>103.7</v>
      </c>
      <c r="D77" s="345"/>
      <c r="E77" s="346"/>
      <c r="F77" s="182"/>
    </row>
    <row r="78" spans="1:6" ht="15.75" hidden="1" outlineLevel="1" x14ac:dyDescent="0.25">
      <c r="A78" s="258"/>
      <c r="B78" s="341" t="s">
        <v>1294</v>
      </c>
      <c r="C78" s="344" t="s">
        <v>1291</v>
      </c>
      <c r="D78" s="345">
        <f>(C77-100)/12*6/100+1</f>
        <v>1.0189999999999999</v>
      </c>
      <c r="E78" s="346"/>
      <c r="F78" s="182"/>
    </row>
    <row r="79" spans="1:6" ht="15.75" hidden="1" outlineLevel="1" x14ac:dyDescent="0.25">
      <c r="A79" s="258"/>
      <c r="B79" s="341" t="s">
        <v>1295</v>
      </c>
      <c r="C79" s="344" t="s">
        <v>1267</v>
      </c>
      <c r="D79" s="345">
        <f>(C77-100)/12*7/100+1</f>
        <v>1.022</v>
      </c>
      <c r="E79" s="346"/>
      <c r="F79" s="182"/>
    </row>
    <row r="80" spans="1:6" ht="30" hidden="1" outlineLevel="1" x14ac:dyDescent="0.25">
      <c r="A80" s="258"/>
      <c r="B80" s="341" t="s">
        <v>1288</v>
      </c>
      <c r="C80" s="352" t="s">
        <v>1296</v>
      </c>
      <c r="D80" s="351">
        <f>D76*(D78+D79)/2</f>
        <v>1.042</v>
      </c>
      <c r="E80" s="346"/>
      <c r="F80" s="182"/>
    </row>
    <row r="81" spans="1:7" ht="15.75" hidden="1" outlineLevel="1" x14ac:dyDescent="0.2">
      <c r="A81" s="258" t="s">
        <v>292</v>
      </c>
      <c r="B81" s="255" t="s">
        <v>1013</v>
      </c>
      <c r="C81" s="277">
        <v>15802890</v>
      </c>
      <c r="D81" s="346">
        <v>44409</v>
      </c>
      <c r="E81" s="346">
        <v>44423</v>
      </c>
      <c r="F81" s="182">
        <f t="shared" si="0"/>
        <v>14</v>
      </c>
    </row>
    <row r="82" spans="1:7" ht="15.75" hidden="1" outlineLevel="1" x14ac:dyDescent="0.25">
      <c r="A82" s="258"/>
      <c r="B82" s="341" t="s">
        <v>1253</v>
      </c>
      <c r="C82" s="342"/>
      <c r="D82" s="342"/>
      <c r="E82" s="346"/>
      <c r="F82" s="182"/>
    </row>
    <row r="83" spans="1:7" ht="15.75" hidden="1" outlineLevel="1" x14ac:dyDescent="0.25">
      <c r="A83" s="258"/>
      <c r="B83" s="341" t="s">
        <v>1254</v>
      </c>
      <c r="C83" s="342"/>
      <c r="D83" s="342"/>
      <c r="E83" s="346"/>
      <c r="F83" s="182"/>
    </row>
    <row r="84" spans="1:7" ht="15.75" hidden="1" outlineLevel="1" x14ac:dyDescent="0.25">
      <c r="A84" s="258"/>
      <c r="B84" s="341" t="s">
        <v>1255</v>
      </c>
      <c r="C84" s="340"/>
      <c r="D84" s="350">
        <v>103.6</v>
      </c>
      <c r="E84" s="346"/>
      <c r="F84" s="182"/>
    </row>
    <row r="85" spans="1:7" ht="15.75" hidden="1" outlineLevel="1" x14ac:dyDescent="0.25">
      <c r="A85" s="258"/>
      <c r="B85" s="341" t="s">
        <v>1257</v>
      </c>
      <c r="C85" s="343" t="s">
        <v>1268</v>
      </c>
      <c r="D85" s="345">
        <f>(D84-100)/12*7/100+1</f>
        <v>1.0209999999999999</v>
      </c>
      <c r="E85" s="346"/>
      <c r="F85" s="182"/>
    </row>
    <row r="86" spans="1:7" ht="15.75" hidden="1" outlineLevel="1" x14ac:dyDescent="0.25">
      <c r="A86" s="258"/>
      <c r="B86" s="341" t="s">
        <v>1259</v>
      </c>
      <c r="C86" s="343">
        <v>103.7</v>
      </c>
      <c r="D86" s="345"/>
      <c r="E86" s="346"/>
      <c r="F86" s="182"/>
    </row>
    <row r="87" spans="1:7" ht="15.75" hidden="1" outlineLevel="1" x14ac:dyDescent="0.25">
      <c r="A87" s="258"/>
      <c r="B87" s="341" t="s">
        <v>1290</v>
      </c>
      <c r="C87" s="344" t="s">
        <v>1291</v>
      </c>
      <c r="D87" s="345">
        <f>(C86-100)/12*6/100+1</f>
        <v>1.0189999999999999</v>
      </c>
      <c r="E87" s="346"/>
      <c r="F87" s="182"/>
    </row>
    <row r="88" spans="1:7" ht="15.75" hidden="1" outlineLevel="1" x14ac:dyDescent="0.25">
      <c r="A88" s="258"/>
      <c r="B88" s="341" t="s">
        <v>1298</v>
      </c>
      <c r="C88" s="344" t="s">
        <v>1267</v>
      </c>
      <c r="D88" s="345">
        <f>(C86-100)/12*7/100+1</f>
        <v>1.022</v>
      </c>
      <c r="E88" s="346"/>
      <c r="F88" s="182"/>
    </row>
    <row r="89" spans="1:7" ht="30" hidden="1" outlineLevel="1" x14ac:dyDescent="0.25">
      <c r="A89" s="258"/>
      <c r="B89" s="341" t="s">
        <v>1288</v>
      </c>
      <c r="C89" s="352" t="s">
        <v>1296</v>
      </c>
      <c r="D89" s="351">
        <f>D85*(D87+D88)/2</f>
        <v>1.042</v>
      </c>
      <c r="E89" s="346"/>
      <c r="F89" s="182"/>
    </row>
    <row r="90" spans="1:7" ht="15.75" hidden="1" outlineLevel="1" x14ac:dyDescent="0.2">
      <c r="A90" s="258" t="s">
        <v>293</v>
      </c>
      <c r="B90" s="255" t="s">
        <v>1012</v>
      </c>
      <c r="C90" s="158">
        <v>3285357</v>
      </c>
      <c r="D90" s="346">
        <v>44423</v>
      </c>
      <c r="E90" s="346">
        <v>44440</v>
      </c>
      <c r="F90" s="182">
        <f t="shared" si="0"/>
        <v>17</v>
      </c>
      <c r="G90" s="219"/>
    </row>
    <row r="91" spans="1:7" ht="15.75" hidden="1" outlineLevel="1" x14ac:dyDescent="0.25">
      <c r="A91" s="258"/>
      <c r="B91" s="341" t="s">
        <v>1253</v>
      </c>
      <c r="C91" s="342"/>
      <c r="D91" s="342"/>
      <c r="E91" s="346"/>
      <c r="F91" s="182"/>
    </row>
    <row r="92" spans="1:7" ht="15.75" hidden="1" outlineLevel="1" x14ac:dyDescent="0.25">
      <c r="A92" s="258"/>
      <c r="B92" s="341" t="s">
        <v>1254</v>
      </c>
      <c r="C92" s="342"/>
      <c r="D92" s="342"/>
      <c r="E92" s="346"/>
      <c r="F92" s="182"/>
    </row>
    <row r="93" spans="1:7" ht="15.75" hidden="1" outlineLevel="1" x14ac:dyDescent="0.25">
      <c r="A93" s="258"/>
      <c r="B93" s="341" t="s">
        <v>1255</v>
      </c>
      <c r="C93" s="340"/>
      <c r="D93" s="350">
        <v>103.6</v>
      </c>
      <c r="E93" s="346"/>
      <c r="F93" s="182"/>
    </row>
    <row r="94" spans="1:7" ht="15.75" hidden="1" outlineLevel="1" x14ac:dyDescent="0.25">
      <c r="A94" s="258"/>
      <c r="B94" s="341" t="s">
        <v>1257</v>
      </c>
      <c r="C94" s="343" t="s">
        <v>1268</v>
      </c>
      <c r="D94" s="345">
        <f>(D93-100)/12*7/100+1</f>
        <v>1.0209999999999999</v>
      </c>
      <c r="E94" s="346"/>
      <c r="F94" s="182"/>
    </row>
    <row r="95" spans="1:7" ht="15.75" hidden="1" outlineLevel="1" x14ac:dyDescent="0.25">
      <c r="A95" s="258"/>
      <c r="B95" s="341" t="s">
        <v>1259</v>
      </c>
      <c r="C95" s="343">
        <v>103.7</v>
      </c>
      <c r="D95" s="345"/>
      <c r="E95" s="346"/>
      <c r="F95" s="182"/>
    </row>
    <row r="96" spans="1:7" ht="15.75" hidden="1" outlineLevel="1" x14ac:dyDescent="0.25">
      <c r="A96" s="258"/>
      <c r="B96" s="341" t="s">
        <v>1295</v>
      </c>
      <c r="C96" s="344" t="s">
        <v>1267</v>
      </c>
      <c r="D96" s="345">
        <f>(C95-100)/12*7/100+1</f>
        <v>1.022</v>
      </c>
      <c r="E96" s="346"/>
      <c r="F96" s="182"/>
    </row>
    <row r="97" spans="1:6" ht="15.75" hidden="1" outlineLevel="1" x14ac:dyDescent="0.25">
      <c r="A97" s="258"/>
      <c r="B97" s="341" t="s">
        <v>1299</v>
      </c>
      <c r="C97" s="344" t="s">
        <v>1267</v>
      </c>
      <c r="D97" s="345">
        <f>(C95-100)/12*7/100+1</f>
        <v>1.022</v>
      </c>
      <c r="E97" s="346"/>
      <c r="F97" s="182"/>
    </row>
    <row r="98" spans="1:6" ht="30" hidden="1" outlineLevel="1" x14ac:dyDescent="0.25">
      <c r="A98" s="258"/>
      <c r="B98" s="341" t="s">
        <v>1288</v>
      </c>
      <c r="C98" s="352" t="s">
        <v>1300</v>
      </c>
      <c r="D98" s="351">
        <f>D94*(D96+D97)/2</f>
        <v>1.0429999999999999</v>
      </c>
      <c r="E98" s="346"/>
      <c r="F98" s="182"/>
    </row>
    <row r="99" spans="1:6" ht="25.5" hidden="1" outlineLevel="1" x14ac:dyDescent="0.2">
      <c r="A99" s="258" t="s">
        <v>294</v>
      </c>
      <c r="B99" s="255" t="s">
        <v>1080</v>
      </c>
      <c r="C99" s="332">
        <v>193485</v>
      </c>
      <c r="D99" s="346">
        <v>44440</v>
      </c>
      <c r="E99" s="346">
        <v>44449</v>
      </c>
      <c r="F99" s="182">
        <f t="shared" si="0"/>
        <v>9</v>
      </c>
    </row>
    <row r="100" spans="1:6" ht="15.75" hidden="1" outlineLevel="1" x14ac:dyDescent="0.25">
      <c r="A100" s="258"/>
      <c r="B100" s="341" t="s">
        <v>1253</v>
      </c>
      <c r="C100" s="342"/>
      <c r="D100" s="342"/>
      <c r="E100" s="346"/>
      <c r="F100" s="182"/>
    </row>
    <row r="101" spans="1:6" ht="15.75" hidden="1" outlineLevel="1" x14ac:dyDescent="0.25">
      <c r="A101" s="258"/>
      <c r="B101" s="341" t="s">
        <v>1254</v>
      </c>
      <c r="C101" s="342"/>
      <c r="D101" s="342"/>
      <c r="E101" s="346"/>
      <c r="F101" s="182"/>
    </row>
    <row r="102" spans="1:6" ht="15.75" hidden="1" outlineLevel="1" x14ac:dyDescent="0.25">
      <c r="A102" s="258"/>
      <c r="B102" s="341" t="s">
        <v>1255</v>
      </c>
      <c r="C102" s="340"/>
      <c r="D102" s="350">
        <v>103.6</v>
      </c>
      <c r="E102" s="346"/>
      <c r="F102" s="182"/>
    </row>
    <row r="103" spans="1:6" ht="15.75" hidden="1" outlineLevel="1" x14ac:dyDescent="0.25">
      <c r="A103" s="258"/>
      <c r="B103" s="341" t="s">
        <v>1257</v>
      </c>
      <c r="C103" s="343" t="s">
        <v>1268</v>
      </c>
      <c r="D103" s="345">
        <f>(D102-100)/12*7/100+1</f>
        <v>1.0209999999999999</v>
      </c>
      <c r="E103" s="346"/>
      <c r="F103" s="182"/>
    </row>
    <row r="104" spans="1:6" ht="15.75" hidden="1" outlineLevel="1" x14ac:dyDescent="0.25">
      <c r="A104" s="258"/>
      <c r="B104" s="341" t="s">
        <v>1259</v>
      </c>
      <c r="C104" s="343">
        <v>103.7</v>
      </c>
      <c r="D104" s="345"/>
      <c r="E104" s="346"/>
      <c r="F104" s="182"/>
    </row>
    <row r="105" spans="1:6" ht="15.75" hidden="1" outlineLevel="1" x14ac:dyDescent="0.25">
      <c r="A105" s="258"/>
      <c r="B105" s="341" t="s">
        <v>1299</v>
      </c>
      <c r="C105" s="344" t="s">
        <v>1267</v>
      </c>
      <c r="D105" s="345">
        <f>(C104-100)/12*7/100+1</f>
        <v>1.022</v>
      </c>
      <c r="E105" s="346"/>
      <c r="F105" s="182"/>
    </row>
    <row r="106" spans="1:6" ht="15.75" hidden="1" outlineLevel="1" x14ac:dyDescent="0.25">
      <c r="A106" s="258"/>
      <c r="B106" s="341" t="s">
        <v>1301</v>
      </c>
      <c r="C106" s="344" t="s">
        <v>1266</v>
      </c>
      <c r="D106" s="345">
        <f>(C104-100)/12*8/100+1</f>
        <v>1.0249999999999999</v>
      </c>
      <c r="E106" s="346"/>
      <c r="F106" s="182"/>
    </row>
    <row r="107" spans="1:6" ht="30" hidden="1" outlineLevel="1" x14ac:dyDescent="0.25">
      <c r="A107" s="258"/>
      <c r="B107" s="341" t="s">
        <v>1288</v>
      </c>
      <c r="C107" s="352" t="s">
        <v>1302</v>
      </c>
      <c r="D107" s="351">
        <f>D103*(D105+D106)/2</f>
        <v>1.0449999999999999</v>
      </c>
      <c r="E107" s="346"/>
      <c r="F107" s="182"/>
    </row>
    <row r="108" spans="1:6" ht="15.75" hidden="1" outlineLevel="1" x14ac:dyDescent="0.2">
      <c r="A108" s="258" t="s">
        <v>919</v>
      </c>
      <c r="B108" s="255" t="s">
        <v>984</v>
      </c>
      <c r="C108" s="158">
        <v>10741334</v>
      </c>
      <c r="D108" s="346">
        <v>44423</v>
      </c>
      <c r="E108" s="346">
        <v>44449</v>
      </c>
      <c r="F108" s="182">
        <f t="shared" si="0"/>
        <v>26</v>
      </c>
    </row>
    <row r="109" spans="1:6" ht="15.75" hidden="1" outlineLevel="1" x14ac:dyDescent="0.25">
      <c r="A109" s="258"/>
      <c r="B109" s="341" t="s">
        <v>1253</v>
      </c>
      <c r="C109" s="342"/>
      <c r="D109" s="342"/>
      <c r="E109" s="346"/>
      <c r="F109" s="182"/>
    </row>
    <row r="110" spans="1:6" ht="15.75" hidden="1" outlineLevel="1" x14ac:dyDescent="0.25">
      <c r="A110" s="258"/>
      <c r="B110" s="341" t="s">
        <v>1254</v>
      </c>
      <c r="C110" s="342"/>
      <c r="D110" s="342"/>
      <c r="E110" s="346"/>
      <c r="F110" s="182"/>
    </row>
    <row r="111" spans="1:6" ht="15.75" hidden="1" outlineLevel="1" x14ac:dyDescent="0.25">
      <c r="A111" s="258"/>
      <c r="B111" s="341" t="s">
        <v>1255</v>
      </c>
      <c r="C111" s="340"/>
      <c r="D111" s="350">
        <v>103.6</v>
      </c>
      <c r="E111" s="346"/>
      <c r="F111" s="182"/>
    </row>
    <row r="112" spans="1:6" ht="15.75" hidden="1" outlineLevel="1" x14ac:dyDescent="0.25">
      <c r="A112" s="258"/>
      <c r="B112" s="341" t="s">
        <v>1257</v>
      </c>
      <c r="C112" s="343" t="s">
        <v>1268</v>
      </c>
      <c r="D112" s="345">
        <f>(D111-100)/12*7/100+1</f>
        <v>1.0209999999999999</v>
      </c>
      <c r="E112" s="346"/>
      <c r="F112" s="182"/>
    </row>
    <row r="113" spans="1:6" ht="15.75" hidden="1" outlineLevel="1" x14ac:dyDescent="0.25">
      <c r="A113" s="258"/>
      <c r="B113" s="341" t="s">
        <v>1259</v>
      </c>
      <c r="C113" s="343">
        <v>103.7</v>
      </c>
      <c r="D113" s="345"/>
      <c r="E113" s="346"/>
      <c r="F113" s="182"/>
    </row>
    <row r="114" spans="1:6" ht="15.75" hidden="1" outlineLevel="1" x14ac:dyDescent="0.25">
      <c r="A114" s="258"/>
      <c r="B114" s="341" t="s">
        <v>1290</v>
      </c>
      <c r="C114" s="344" t="s">
        <v>1291</v>
      </c>
      <c r="D114" s="345">
        <f>(C113-100)/12*6/100+1</f>
        <v>1.0189999999999999</v>
      </c>
      <c r="E114" s="346"/>
      <c r="F114" s="182"/>
    </row>
    <row r="115" spans="1:6" ht="15.75" hidden="1" outlineLevel="1" x14ac:dyDescent="0.25">
      <c r="A115" s="258"/>
      <c r="B115" s="341" t="s">
        <v>1303</v>
      </c>
      <c r="C115" s="344" t="s">
        <v>1267</v>
      </c>
      <c r="D115" s="345">
        <f>(C113-100)/12*7/100+1</f>
        <v>1.022</v>
      </c>
      <c r="E115" s="346"/>
      <c r="F115" s="182"/>
    </row>
    <row r="116" spans="1:6" ht="30" hidden="1" outlineLevel="1" x14ac:dyDescent="0.25">
      <c r="A116" s="258"/>
      <c r="B116" s="341" t="s">
        <v>1288</v>
      </c>
      <c r="C116" s="352" t="s">
        <v>1296</v>
      </c>
      <c r="D116" s="351">
        <f>D112*(D114+D115)/2</f>
        <v>1.042</v>
      </c>
      <c r="E116" s="346"/>
      <c r="F116" s="182"/>
    </row>
    <row r="117" spans="1:6" ht="15.75" hidden="1" outlineLevel="1" x14ac:dyDescent="0.2">
      <c r="A117" s="258" t="s">
        <v>920</v>
      </c>
      <c r="B117" s="255" t="s">
        <v>1005</v>
      </c>
      <c r="C117" s="158">
        <v>26065621</v>
      </c>
      <c r="D117" s="346">
        <v>44423</v>
      </c>
      <c r="E117" s="346">
        <v>44440</v>
      </c>
      <c r="F117" s="182">
        <f t="shared" si="0"/>
        <v>17</v>
      </c>
    </row>
    <row r="118" spans="1:6" ht="15.75" hidden="1" outlineLevel="1" x14ac:dyDescent="0.25">
      <c r="A118" s="258"/>
      <c r="B118" s="341" t="s">
        <v>1253</v>
      </c>
      <c r="C118" s="342"/>
      <c r="D118" s="342"/>
      <c r="E118" s="346"/>
      <c r="F118" s="182"/>
    </row>
    <row r="119" spans="1:6" ht="15.75" hidden="1" outlineLevel="1" x14ac:dyDescent="0.25">
      <c r="A119" s="258"/>
      <c r="B119" s="341" t="s">
        <v>1254</v>
      </c>
      <c r="C119" s="342"/>
      <c r="D119" s="342"/>
      <c r="E119" s="346"/>
      <c r="F119" s="182"/>
    </row>
    <row r="120" spans="1:6" ht="15.75" hidden="1" outlineLevel="1" x14ac:dyDescent="0.25">
      <c r="A120" s="258"/>
      <c r="B120" s="341" t="s">
        <v>1255</v>
      </c>
      <c r="C120" s="340"/>
      <c r="D120" s="350">
        <v>103.6</v>
      </c>
      <c r="E120" s="346"/>
      <c r="F120" s="182"/>
    </row>
    <row r="121" spans="1:6" ht="15.75" hidden="1" outlineLevel="1" x14ac:dyDescent="0.25">
      <c r="A121" s="258"/>
      <c r="B121" s="341" t="s">
        <v>1257</v>
      </c>
      <c r="C121" s="343" t="s">
        <v>1268</v>
      </c>
      <c r="D121" s="345">
        <f>(D120-100)/12*7/100+1</f>
        <v>1.0209999999999999</v>
      </c>
      <c r="E121" s="346"/>
      <c r="F121" s="182"/>
    </row>
    <row r="122" spans="1:6" ht="15.75" hidden="1" outlineLevel="1" x14ac:dyDescent="0.25">
      <c r="A122" s="258"/>
      <c r="B122" s="341" t="s">
        <v>1259</v>
      </c>
      <c r="C122" s="343">
        <v>103.7</v>
      </c>
      <c r="D122" s="345"/>
      <c r="E122" s="346"/>
      <c r="F122" s="182"/>
    </row>
    <row r="123" spans="1:6" ht="15.75" hidden="1" outlineLevel="1" x14ac:dyDescent="0.25">
      <c r="A123" s="258"/>
      <c r="B123" s="341" t="s">
        <v>1295</v>
      </c>
      <c r="C123" s="344" t="s">
        <v>1267</v>
      </c>
      <c r="D123" s="345">
        <f>(C122-100)/12*7/100+1</f>
        <v>1.022</v>
      </c>
      <c r="E123" s="346"/>
      <c r="F123" s="182"/>
    </row>
    <row r="124" spans="1:6" ht="15.75" hidden="1" outlineLevel="1" x14ac:dyDescent="0.25">
      <c r="A124" s="258"/>
      <c r="B124" s="341" t="s">
        <v>1303</v>
      </c>
      <c r="C124" s="344" t="s">
        <v>1267</v>
      </c>
      <c r="D124" s="345">
        <f>(C122-100)/12*7/100+1</f>
        <v>1.022</v>
      </c>
      <c r="E124" s="346"/>
      <c r="F124" s="182"/>
    </row>
    <row r="125" spans="1:6" ht="30" hidden="1" outlineLevel="1" x14ac:dyDescent="0.25">
      <c r="A125" s="258"/>
      <c r="B125" s="341" t="s">
        <v>1288</v>
      </c>
      <c r="C125" s="352" t="s">
        <v>1300</v>
      </c>
      <c r="D125" s="351">
        <f>D121*(D123+D124)/2</f>
        <v>1.0429999999999999</v>
      </c>
      <c r="E125" s="346"/>
      <c r="F125" s="182"/>
    </row>
    <row r="126" spans="1:6" ht="15.75" hidden="1" outlineLevel="1" x14ac:dyDescent="0.2">
      <c r="A126" s="258" t="s">
        <v>932</v>
      </c>
      <c r="B126" s="255" t="s">
        <v>985</v>
      </c>
      <c r="C126" s="158">
        <v>2617501</v>
      </c>
      <c r="D126" s="346">
        <v>44409</v>
      </c>
      <c r="E126" s="346">
        <v>44433</v>
      </c>
      <c r="F126" s="182">
        <f t="shared" si="0"/>
        <v>24</v>
      </c>
    </row>
    <row r="127" spans="1:6" ht="15.75" hidden="1" outlineLevel="1" x14ac:dyDescent="0.25">
      <c r="A127" s="258"/>
      <c r="B127" s="341" t="s">
        <v>1253</v>
      </c>
      <c r="C127" s="342"/>
      <c r="D127" s="342"/>
      <c r="E127" s="346"/>
      <c r="F127" s="182"/>
    </row>
    <row r="128" spans="1:6" ht="15.75" hidden="1" outlineLevel="1" x14ac:dyDescent="0.25">
      <c r="A128" s="258"/>
      <c r="B128" s="341" t="s">
        <v>1254</v>
      </c>
      <c r="C128" s="342"/>
      <c r="D128" s="342"/>
      <c r="E128" s="346"/>
      <c r="F128" s="182"/>
    </row>
    <row r="129" spans="1:6" ht="15.75" hidden="1" outlineLevel="1" x14ac:dyDescent="0.25">
      <c r="A129" s="258"/>
      <c r="B129" s="341" t="s">
        <v>1255</v>
      </c>
      <c r="C129" s="340"/>
      <c r="D129" s="350">
        <v>103.6</v>
      </c>
      <c r="E129" s="346"/>
      <c r="F129" s="182"/>
    </row>
    <row r="130" spans="1:6" ht="15.75" hidden="1" outlineLevel="1" x14ac:dyDescent="0.25">
      <c r="A130" s="258"/>
      <c r="B130" s="341" t="s">
        <v>1257</v>
      </c>
      <c r="C130" s="343" t="s">
        <v>1268</v>
      </c>
      <c r="D130" s="345">
        <f>(D129-100)/12*7/100+1</f>
        <v>1.0209999999999999</v>
      </c>
      <c r="E130" s="346"/>
      <c r="F130" s="182"/>
    </row>
    <row r="131" spans="1:6" ht="15.75" hidden="1" outlineLevel="1" x14ac:dyDescent="0.25">
      <c r="A131" s="258"/>
      <c r="B131" s="341" t="s">
        <v>1259</v>
      </c>
      <c r="C131" s="343">
        <v>103.7</v>
      </c>
      <c r="D131" s="345"/>
      <c r="E131" s="346"/>
      <c r="F131" s="182"/>
    </row>
    <row r="132" spans="1:6" ht="15.75" hidden="1" outlineLevel="1" x14ac:dyDescent="0.25">
      <c r="A132" s="258"/>
      <c r="B132" s="341" t="s">
        <v>1303</v>
      </c>
      <c r="C132" s="344" t="s">
        <v>1267</v>
      </c>
      <c r="D132" s="345">
        <f>(C131-100)/12*7/100+1</f>
        <v>1.022</v>
      </c>
      <c r="E132" s="346"/>
      <c r="F132" s="182"/>
    </row>
    <row r="133" spans="1:6" ht="15.75" hidden="1" outlineLevel="1" x14ac:dyDescent="0.25">
      <c r="A133" s="258"/>
      <c r="B133" s="341" t="s">
        <v>1304</v>
      </c>
      <c r="C133" s="344" t="s">
        <v>1267</v>
      </c>
      <c r="D133" s="345">
        <f>(C131-100)/12*7/100+1</f>
        <v>1.022</v>
      </c>
      <c r="E133" s="346"/>
      <c r="F133" s="182"/>
    </row>
    <row r="134" spans="1:6" ht="30" hidden="1" outlineLevel="1" x14ac:dyDescent="0.25">
      <c r="A134" s="258"/>
      <c r="B134" s="341" t="s">
        <v>1288</v>
      </c>
      <c r="C134" s="352" t="s">
        <v>1300</v>
      </c>
      <c r="D134" s="351">
        <f>D130*(D132+D133)/2</f>
        <v>1.0429999999999999</v>
      </c>
      <c r="E134" s="346"/>
      <c r="F134" s="182"/>
    </row>
    <row r="135" spans="1:6" ht="15.75" hidden="1" outlineLevel="1" x14ac:dyDescent="0.2">
      <c r="A135" s="280" t="s">
        <v>944</v>
      </c>
      <c r="B135" s="279" t="s">
        <v>102</v>
      </c>
      <c r="C135" s="232">
        <v>390607</v>
      </c>
      <c r="D135" s="346">
        <v>44409</v>
      </c>
      <c r="E135" s="346">
        <v>44433</v>
      </c>
      <c r="F135" s="182">
        <f t="shared" si="0"/>
        <v>24</v>
      </c>
    </row>
    <row r="136" spans="1:6" ht="15.75" hidden="1" outlineLevel="1" x14ac:dyDescent="0.25">
      <c r="A136" s="258"/>
      <c r="B136" s="341" t="s">
        <v>1253</v>
      </c>
      <c r="C136" s="342"/>
      <c r="D136" s="342"/>
      <c r="E136" s="346"/>
      <c r="F136" s="182"/>
    </row>
    <row r="137" spans="1:6" ht="15.75" hidden="1" outlineLevel="1" x14ac:dyDescent="0.25">
      <c r="A137" s="258"/>
      <c r="B137" s="341" t="s">
        <v>1254</v>
      </c>
      <c r="C137" s="342"/>
      <c r="D137" s="342"/>
      <c r="E137" s="346"/>
      <c r="F137" s="182"/>
    </row>
    <row r="138" spans="1:6" ht="15.75" hidden="1" outlineLevel="1" x14ac:dyDescent="0.25">
      <c r="A138" s="258"/>
      <c r="B138" s="341" t="s">
        <v>1255</v>
      </c>
      <c r="C138" s="340"/>
      <c r="D138" s="350">
        <v>103.6</v>
      </c>
      <c r="E138" s="346"/>
      <c r="F138" s="182"/>
    </row>
    <row r="139" spans="1:6" ht="15.75" hidden="1" outlineLevel="1" x14ac:dyDescent="0.25">
      <c r="A139" s="258"/>
      <c r="B139" s="341" t="s">
        <v>1257</v>
      </c>
      <c r="C139" s="343" t="s">
        <v>1268</v>
      </c>
      <c r="D139" s="345">
        <f>(D138-100)/12*7/100+1</f>
        <v>1.0209999999999999</v>
      </c>
      <c r="E139" s="346"/>
      <c r="F139" s="182"/>
    </row>
    <row r="140" spans="1:6" ht="15.75" hidden="1" outlineLevel="1" x14ac:dyDescent="0.25">
      <c r="A140" s="258"/>
      <c r="B140" s="341" t="s">
        <v>1259</v>
      </c>
      <c r="C140" s="343">
        <v>103.7</v>
      </c>
      <c r="D140" s="345"/>
      <c r="E140" s="346"/>
      <c r="F140" s="182"/>
    </row>
    <row r="141" spans="1:6" ht="15.75" hidden="1" outlineLevel="1" x14ac:dyDescent="0.25">
      <c r="A141" s="258"/>
      <c r="B141" s="341" t="s">
        <v>1295</v>
      </c>
      <c r="C141" s="344" t="s">
        <v>1267</v>
      </c>
      <c r="D141" s="345">
        <f>(C140-100)/12*7/100+1</f>
        <v>1.022</v>
      </c>
      <c r="E141" s="346"/>
      <c r="F141" s="182"/>
    </row>
    <row r="142" spans="1:6" ht="15.75" hidden="1" outlineLevel="1" x14ac:dyDescent="0.25">
      <c r="A142" s="258"/>
      <c r="B142" s="341" t="s">
        <v>1303</v>
      </c>
      <c r="C142" s="344" t="s">
        <v>1267</v>
      </c>
      <c r="D142" s="345">
        <f>(C140-100)/12*7/100+1</f>
        <v>1.022</v>
      </c>
      <c r="E142" s="346"/>
      <c r="F142" s="182"/>
    </row>
    <row r="143" spans="1:6" ht="30" hidden="1" outlineLevel="1" x14ac:dyDescent="0.25">
      <c r="A143" s="258"/>
      <c r="B143" s="341" t="s">
        <v>1288</v>
      </c>
      <c r="C143" s="352" t="s">
        <v>1300</v>
      </c>
      <c r="D143" s="351">
        <f>D139*(D141+D142)/2</f>
        <v>1.0429999999999999</v>
      </c>
      <c r="E143" s="346"/>
      <c r="F143" s="182"/>
    </row>
    <row r="144" spans="1:6" ht="15.75" hidden="1" outlineLevel="1" x14ac:dyDescent="0.2">
      <c r="A144" s="258" t="s">
        <v>945</v>
      </c>
      <c r="B144" s="255" t="s">
        <v>986</v>
      </c>
      <c r="C144" s="158">
        <v>1127740</v>
      </c>
      <c r="D144" s="346">
        <v>44423</v>
      </c>
      <c r="E144" s="346">
        <v>44440</v>
      </c>
      <c r="F144" s="182">
        <f t="shared" si="0"/>
        <v>17</v>
      </c>
    </row>
    <row r="145" spans="1:6" ht="15.75" hidden="1" outlineLevel="1" x14ac:dyDescent="0.25">
      <c r="A145" s="258"/>
      <c r="B145" s="341" t="s">
        <v>1253</v>
      </c>
      <c r="C145" s="342"/>
      <c r="D145" s="342"/>
      <c r="E145" s="346"/>
      <c r="F145" s="182"/>
    </row>
    <row r="146" spans="1:6" ht="15.75" hidden="1" outlineLevel="1" x14ac:dyDescent="0.25">
      <c r="A146" s="258"/>
      <c r="B146" s="341" t="s">
        <v>1254</v>
      </c>
      <c r="C146" s="342"/>
      <c r="D146" s="342"/>
      <c r="E146" s="346"/>
      <c r="F146" s="182"/>
    </row>
    <row r="147" spans="1:6" ht="15.75" hidden="1" outlineLevel="1" x14ac:dyDescent="0.25">
      <c r="A147" s="258"/>
      <c r="B147" s="341" t="s">
        <v>1255</v>
      </c>
      <c r="C147" s="340"/>
      <c r="D147" s="350">
        <v>103.6</v>
      </c>
      <c r="E147" s="346"/>
      <c r="F147" s="182"/>
    </row>
    <row r="148" spans="1:6" ht="15.75" hidden="1" outlineLevel="1" x14ac:dyDescent="0.25">
      <c r="A148" s="258"/>
      <c r="B148" s="341" t="s">
        <v>1257</v>
      </c>
      <c r="C148" s="343" t="s">
        <v>1268</v>
      </c>
      <c r="D148" s="345">
        <f>(D147-100)/12*7/100+1</f>
        <v>1.0209999999999999</v>
      </c>
      <c r="E148" s="346"/>
      <c r="F148" s="182"/>
    </row>
    <row r="149" spans="1:6" ht="15.75" hidden="1" outlineLevel="1" x14ac:dyDescent="0.25">
      <c r="A149" s="258"/>
      <c r="B149" s="341" t="s">
        <v>1259</v>
      </c>
      <c r="C149" s="343">
        <v>103.7</v>
      </c>
      <c r="D149" s="345"/>
      <c r="E149" s="346"/>
      <c r="F149" s="182"/>
    </row>
    <row r="150" spans="1:6" ht="15.75" hidden="1" outlineLevel="1" x14ac:dyDescent="0.25">
      <c r="A150" s="258"/>
      <c r="B150" s="341" t="s">
        <v>1303</v>
      </c>
      <c r="C150" s="344" t="s">
        <v>1267</v>
      </c>
      <c r="D150" s="345">
        <f>(C149-100)/12*7/100+1</f>
        <v>1.022</v>
      </c>
      <c r="E150" s="346"/>
      <c r="F150" s="182"/>
    </row>
    <row r="151" spans="1:6" ht="15.75" hidden="1" outlineLevel="1" x14ac:dyDescent="0.25">
      <c r="A151" s="258"/>
      <c r="B151" s="341" t="s">
        <v>1299</v>
      </c>
      <c r="C151" s="344" t="s">
        <v>1267</v>
      </c>
      <c r="D151" s="345">
        <f>(C149-100)/12*7/100+1</f>
        <v>1.022</v>
      </c>
      <c r="E151" s="346"/>
      <c r="F151" s="182"/>
    </row>
    <row r="152" spans="1:6" ht="30" hidden="1" outlineLevel="1" x14ac:dyDescent="0.25">
      <c r="A152" s="258"/>
      <c r="B152" s="341" t="s">
        <v>1288</v>
      </c>
      <c r="C152" s="352" t="s">
        <v>1300</v>
      </c>
      <c r="D152" s="351">
        <f>D148*(D150+D151)/2</f>
        <v>1.0429999999999999</v>
      </c>
      <c r="E152" s="346"/>
      <c r="F152" s="182"/>
    </row>
    <row r="153" spans="1:6" ht="15.75" hidden="1" outlineLevel="1" x14ac:dyDescent="0.2">
      <c r="A153" s="258" t="s">
        <v>946</v>
      </c>
      <c r="B153" s="255" t="s">
        <v>987</v>
      </c>
      <c r="C153" s="158">
        <v>492952</v>
      </c>
      <c r="D153" s="346">
        <v>44450</v>
      </c>
      <c r="E153" s="346">
        <v>44454</v>
      </c>
      <c r="F153" s="182">
        <f t="shared" si="0"/>
        <v>4</v>
      </c>
    </row>
    <row r="154" spans="1:6" ht="15.75" hidden="1" outlineLevel="1" x14ac:dyDescent="0.25">
      <c r="A154" s="258"/>
      <c r="B154" s="341" t="s">
        <v>1253</v>
      </c>
      <c r="C154" s="342"/>
      <c r="D154" s="342"/>
      <c r="E154" s="346"/>
      <c r="F154" s="182"/>
    </row>
    <row r="155" spans="1:6" ht="15.75" hidden="1" outlineLevel="1" x14ac:dyDescent="0.25">
      <c r="A155" s="258"/>
      <c r="B155" s="341" t="s">
        <v>1254</v>
      </c>
      <c r="C155" s="342"/>
      <c r="D155" s="342"/>
      <c r="E155" s="346"/>
      <c r="F155" s="182"/>
    </row>
    <row r="156" spans="1:6" ht="15.75" hidden="1" outlineLevel="1" x14ac:dyDescent="0.25">
      <c r="A156" s="258"/>
      <c r="B156" s="341" t="s">
        <v>1255</v>
      </c>
      <c r="C156" s="340"/>
      <c r="D156" s="350">
        <v>103.6</v>
      </c>
      <c r="E156" s="346"/>
      <c r="F156" s="182"/>
    </row>
    <row r="157" spans="1:6" ht="15.75" hidden="1" outlineLevel="1" x14ac:dyDescent="0.25">
      <c r="A157" s="258"/>
      <c r="B157" s="341" t="s">
        <v>1257</v>
      </c>
      <c r="C157" s="343" t="s">
        <v>1268</v>
      </c>
      <c r="D157" s="345">
        <f>(D156-100)/12*7/100+1</f>
        <v>1.0209999999999999</v>
      </c>
      <c r="E157" s="346"/>
      <c r="F157" s="182"/>
    </row>
    <row r="158" spans="1:6" ht="15.75" hidden="1" outlineLevel="1" x14ac:dyDescent="0.25">
      <c r="A158" s="258"/>
      <c r="B158" s="341" t="s">
        <v>1259</v>
      </c>
      <c r="C158" s="343">
        <v>103.7</v>
      </c>
      <c r="D158" s="345"/>
      <c r="E158" s="346"/>
      <c r="F158" s="182"/>
    </row>
    <row r="159" spans="1:6" ht="15.75" hidden="1" outlineLevel="1" x14ac:dyDescent="0.25">
      <c r="A159" s="258"/>
      <c r="B159" s="341" t="s">
        <v>1305</v>
      </c>
      <c r="C159" s="344" t="s">
        <v>1266</v>
      </c>
      <c r="D159" s="345">
        <f>(C158-100)/12*8/100+1</f>
        <v>1.0249999999999999</v>
      </c>
      <c r="E159" s="346"/>
      <c r="F159" s="182"/>
    </row>
    <row r="160" spans="1:6" ht="15.75" hidden="1" outlineLevel="1" x14ac:dyDescent="0.25">
      <c r="A160" s="258"/>
      <c r="B160" s="341" t="s">
        <v>1306</v>
      </c>
      <c r="C160" s="344" t="s">
        <v>1266</v>
      </c>
      <c r="D160" s="345">
        <f>(C158-100)/12*8/100+1</f>
        <v>1.0249999999999999</v>
      </c>
      <c r="E160" s="346"/>
      <c r="F160" s="182"/>
    </row>
    <row r="161" spans="1:6" ht="30" hidden="1" outlineLevel="1" x14ac:dyDescent="0.25">
      <c r="A161" s="258"/>
      <c r="B161" s="341" t="s">
        <v>1288</v>
      </c>
      <c r="C161" s="352" t="s">
        <v>1307</v>
      </c>
      <c r="D161" s="351">
        <f>D157*(D159+D160)/2</f>
        <v>1.0469999999999999</v>
      </c>
      <c r="E161" s="346"/>
      <c r="F161" s="182"/>
    </row>
    <row r="162" spans="1:6" ht="15.75" hidden="1" outlineLevel="1" x14ac:dyDescent="0.2">
      <c r="A162" s="206" t="s">
        <v>947</v>
      </c>
      <c r="B162" s="93" t="s">
        <v>52</v>
      </c>
      <c r="C162" s="240">
        <v>258744</v>
      </c>
      <c r="D162" s="346">
        <f>D22</f>
        <v>44317</v>
      </c>
      <c r="E162" s="346">
        <f>E153</f>
        <v>44454</v>
      </c>
      <c r="F162" s="182">
        <f t="shared" si="0"/>
        <v>137</v>
      </c>
    </row>
    <row r="163" spans="1:6" ht="15.75" hidden="1" outlineLevel="1" x14ac:dyDescent="0.25">
      <c r="A163" s="258"/>
      <c r="B163" s="341" t="s">
        <v>1253</v>
      </c>
      <c r="C163" s="342"/>
      <c r="D163" s="342"/>
      <c r="E163" s="346"/>
      <c r="F163" s="182"/>
    </row>
    <row r="164" spans="1:6" ht="15.75" hidden="1" outlineLevel="1" x14ac:dyDescent="0.25">
      <c r="A164" s="258"/>
      <c r="B164" s="341" t="s">
        <v>1254</v>
      </c>
      <c r="C164" s="342"/>
      <c r="D164" s="342"/>
      <c r="E164" s="346"/>
      <c r="F164" s="182"/>
    </row>
    <row r="165" spans="1:6" ht="15.75" hidden="1" outlineLevel="1" x14ac:dyDescent="0.25">
      <c r="A165" s="258"/>
      <c r="B165" s="341" t="s">
        <v>1255</v>
      </c>
      <c r="C165" s="340"/>
      <c r="D165" s="350">
        <v>103.6</v>
      </c>
      <c r="E165" s="346"/>
      <c r="F165" s="182"/>
    </row>
    <row r="166" spans="1:6" ht="15.75" hidden="1" outlineLevel="1" x14ac:dyDescent="0.25">
      <c r="A166" s="258"/>
      <c r="B166" s="341" t="s">
        <v>1257</v>
      </c>
      <c r="C166" s="343" t="s">
        <v>1268</v>
      </c>
      <c r="D166" s="345">
        <f>(D165-100)/12*7/100+1</f>
        <v>1.0209999999999999</v>
      </c>
      <c r="E166" s="346"/>
      <c r="F166" s="182"/>
    </row>
    <row r="167" spans="1:6" ht="15.75" hidden="1" outlineLevel="1" x14ac:dyDescent="0.25">
      <c r="A167" s="258"/>
      <c r="B167" s="341" t="s">
        <v>1259</v>
      </c>
      <c r="C167" s="343">
        <v>103.7</v>
      </c>
      <c r="D167" s="345"/>
      <c r="E167" s="346"/>
      <c r="F167" s="182"/>
    </row>
    <row r="168" spans="1:6" ht="15.75" hidden="1" outlineLevel="1" x14ac:dyDescent="0.25">
      <c r="A168" s="258"/>
      <c r="B168" s="341" t="s">
        <v>1286</v>
      </c>
      <c r="C168" s="344" t="s">
        <v>1260</v>
      </c>
      <c r="D168" s="345">
        <f>(C167-100)/12*3/100+1</f>
        <v>1.0089999999999999</v>
      </c>
      <c r="E168" s="346"/>
      <c r="F168" s="182"/>
    </row>
    <row r="169" spans="1:6" ht="15.75" hidden="1" outlineLevel="1" x14ac:dyDescent="0.25">
      <c r="A169" s="258"/>
      <c r="B169" s="341" t="s">
        <v>1306</v>
      </c>
      <c r="C169" s="344" t="s">
        <v>1266</v>
      </c>
      <c r="D169" s="345">
        <f>(C167-100)/12*8/100+1</f>
        <v>1.0249999999999999</v>
      </c>
      <c r="E169" s="346"/>
      <c r="F169" s="182"/>
    </row>
    <row r="170" spans="1:6" ht="30" hidden="1" outlineLevel="1" x14ac:dyDescent="0.25">
      <c r="A170" s="258"/>
      <c r="B170" s="341" t="s">
        <v>1288</v>
      </c>
      <c r="C170" s="352" t="s">
        <v>1308</v>
      </c>
      <c r="D170" s="351">
        <f>D166*(D168+D169)/2</f>
        <v>1.038</v>
      </c>
      <c r="E170" s="346"/>
      <c r="F170" s="182"/>
    </row>
    <row r="171" spans="1:6" ht="25.5" hidden="1" outlineLevel="1" x14ac:dyDescent="0.2">
      <c r="A171" s="206" t="s">
        <v>948</v>
      </c>
      <c r="B171" s="93" t="s">
        <v>709</v>
      </c>
      <c r="C171" s="240">
        <v>133439</v>
      </c>
      <c r="D171" s="346">
        <f>D162</f>
        <v>44317</v>
      </c>
      <c r="E171" s="346">
        <f>E162</f>
        <v>44454</v>
      </c>
      <c r="F171" s="182">
        <f t="shared" si="0"/>
        <v>137</v>
      </c>
    </row>
    <row r="172" spans="1:6" ht="15.75" hidden="1" outlineLevel="1" x14ac:dyDescent="0.25">
      <c r="A172" s="258"/>
      <c r="B172" s="341" t="s">
        <v>1253</v>
      </c>
      <c r="C172" s="342"/>
      <c r="D172" s="342"/>
      <c r="E172" s="346"/>
      <c r="F172" s="182"/>
    </row>
    <row r="173" spans="1:6" ht="15.75" hidden="1" outlineLevel="1" x14ac:dyDescent="0.25">
      <c r="A173" s="258"/>
      <c r="B173" s="341" t="s">
        <v>1254</v>
      </c>
      <c r="C173" s="342"/>
      <c r="D173" s="342"/>
      <c r="E173" s="346"/>
      <c r="F173" s="182"/>
    </row>
    <row r="174" spans="1:6" ht="15.75" hidden="1" outlineLevel="1" x14ac:dyDescent="0.25">
      <c r="A174" s="258"/>
      <c r="B174" s="341" t="s">
        <v>1255</v>
      </c>
      <c r="C174" s="340"/>
      <c r="D174" s="350">
        <v>103.6</v>
      </c>
      <c r="E174" s="346"/>
      <c r="F174" s="182"/>
    </row>
    <row r="175" spans="1:6" ht="15.75" hidden="1" outlineLevel="1" x14ac:dyDescent="0.25">
      <c r="A175" s="258"/>
      <c r="B175" s="341" t="s">
        <v>1257</v>
      </c>
      <c r="C175" s="343" t="s">
        <v>1268</v>
      </c>
      <c r="D175" s="345">
        <f>(D174-100)/12*7/100+1</f>
        <v>1.0209999999999999</v>
      </c>
      <c r="E175" s="346"/>
      <c r="F175" s="182"/>
    </row>
    <row r="176" spans="1:6" ht="15.75" hidden="1" outlineLevel="1" x14ac:dyDescent="0.25">
      <c r="A176" s="258"/>
      <c r="B176" s="341" t="s">
        <v>1259</v>
      </c>
      <c r="C176" s="343">
        <v>103.7</v>
      </c>
      <c r="D176" s="345"/>
      <c r="E176" s="346"/>
      <c r="F176" s="182"/>
    </row>
    <row r="177" spans="1:6" ht="15.75" hidden="1" outlineLevel="1" x14ac:dyDescent="0.25">
      <c r="A177" s="258"/>
      <c r="B177" s="341" t="s">
        <v>1286</v>
      </c>
      <c r="C177" s="344" t="s">
        <v>1260</v>
      </c>
      <c r="D177" s="345">
        <f>(C176-100)/12*3/100+1</f>
        <v>1.0089999999999999</v>
      </c>
      <c r="E177" s="346"/>
      <c r="F177" s="182"/>
    </row>
    <row r="178" spans="1:6" ht="15.75" hidden="1" outlineLevel="1" x14ac:dyDescent="0.25">
      <c r="A178" s="258"/>
      <c r="B178" s="341" t="s">
        <v>1306</v>
      </c>
      <c r="C178" s="344" t="s">
        <v>1266</v>
      </c>
      <c r="D178" s="345">
        <f>(C176-100)/12*8/100+1</f>
        <v>1.0249999999999999</v>
      </c>
      <c r="E178" s="346"/>
      <c r="F178" s="182"/>
    </row>
    <row r="179" spans="1:6" ht="30" hidden="1" outlineLevel="1" x14ac:dyDescent="0.25">
      <c r="A179" s="258"/>
      <c r="B179" s="341" t="s">
        <v>1288</v>
      </c>
      <c r="C179" s="352" t="s">
        <v>1308</v>
      </c>
      <c r="D179" s="351">
        <f>D175*(D177+D178)/2</f>
        <v>1.038</v>
      </c>
      <c r="E179" s="346"/>
      <c r="F179" s="182"/>
    </row>
    <row r="180" spans="1:6" ht="15.75" hidden="1" outlineLevel="1" x14ac:dyDescent="0.2">
      <c r="A180" s="206" t="s">
        <v>949</v>
      </c>
      <c r="B180" s="93" t="s">
        <v>1392</v>
      </c>
      <c r="C180" s="240">
        <v>485874</v>
      </c>
      <c r="D180" s="346">
        <f>D171</f>
        <v>44317</v>
      </c>
      <c r="E180" s="346">
        <f>E171</f>
        <v>44454</v>
      </c>
      <c r="F180" s="182">
        <f t="shared" si="0"/>
        <v>137</v>
      </c>
    </row>
    <row r="181" spans="1:6" ht="15.75" hidden="1" outlineLevel="1" x14ac:dyDescent="0.25">
      <c r="A181" s="258"/>
      <c r="B181" s="341" t="s">
        <v>1253</v>
      </c>
      <c r="C181" s="342"/>
      <c r="D181" s="342"/>
      <c r="E181" s="346"/>
      <c r="F181" s="182"/>
    </row>
    <row r="182" spans="1:6" ht="15.75" hidden="1" outlineLevel="1" x14ac:dyDescent="0.25">
      <c r="A182" s="258"/>
      <c r="B182" s="341" t="s">
        <v>1254</v>
      </c>
      <c r="C182" s="342"/>
      <c r="D182" s="342"/>
      <c r="E182" s="346"/>
      <c r="F182" s="182"/>
    </row>
    <row r="183" spans="1:6" ht="15.75" hidden="1" outlineLevel="1" x14ac:dyDescent="0.25">
      <c r="A183" s="258"/>
      <c r="B183" s="341" t="s">
        <v>1255</v>
      </c>
      <c r="C183" s="340"/>
      <c r="D183" s="350">
        <v>103.6</v>
      </c>
      <c r="E183" s="346"/>
      <c r="F183" s="182"/>
    </row>
    <row r="184" spans="1:6" ht="15.75" hidden="1" outlineLevel="1" x14ac:dyDescent="0.25">
      <c r="A184" s="258"/>
      <c r="B184" s="341" t="s">
        <v>1257</v>
      </c>
      <c r="C184" s="343" t="s">
        <v>1268</v>
      </c>
      <c r="D184" s="345">
        <f>(D183-100)/12*7/100+1</f>
        <v>1.0209999999999999</v>
      </c>
      <c r="E184" s="346"/>
      <c r="F184" s="182"/>
    </row>
    <row r="185" spans="1:6" ht="15.75" hidden="1" outlineLevel="1" x14ac:dyDescent="0.25">
      <c r="A185" s="258"/>
      <c r="B185" s="341" t="s">
        <v>1259</v>
      </c>
      <c r="C185" s="343">
        <v>103.7</v>
      </c>
      <c r="D185" s="345"/>
      <c r="E185" s="346"/>
      <c r="F185" s="182"/>
    </row>
    <row r="186" spans="1:6" ht="15.75" hidden="1" outlineLevel="1" x14ac:dyDescent="0.25">
      <c r="A186" s="258"/>
      <c r="B186" s="341" t="s">
        <v>1286</v>
      </c>
      <c r="C186" s="344" t="s">
        <v>1260</v>
      </c>
      <c r="D186" s="345">
        <f>(C185-100)/12*3/100+1</f>
        <v>1.0089999999999999</v>
      </c>
      <c r="E186" s="346"/>
      <c r="F186" s="182"/>
    </row>
    <row r="187" spans="1:6" ht="15.75" hidden="1" outlineLevel="1" x14ac:dyDescent="0.25">
      <c r="A187" s="258"/>
      <c r="B187" s="341" t="s">
        <v>1306</v>
      </c>
      <c r="C187" s="344" t="s">
        <v>1266</v>
      </c>
      <c r="D187" s="345">
        <f>(C185-100)/12*8/100+1</f>
        <v>1.0249999999999999</v>
      </c>
      <c r="E187" s="346"/>
      <c r="F187" s="182"/>
    </row>
    <row r="188" spans="1:6" ht="30" hidden="1" outlineLevel="1" x14ac:dyDescent="0.25">
      <c r="A188" s="258"/>
      <c r="B188" s="341" t="s">
        <v>1288</v>
      </c>
      <c r="C188" s="352" t="s">
        <v>1308</v>
      </c>
      <c r="D188" s="351">
        <f>D184*(D186+D187)/2</f>
        <v>1.038</v>
      </c>
      <c r="E188" s="346"/>
      <c r="F188" s="182"/>
    </row>
    <row r="189" spans="1:6" ht="15.75" hidden="1" outlineLevel="1" x14ac:dyDescent="0.2">
      <c r="A189" s="206" t="s">
        <v>952</v>
      </c>
      <c r="B189" s="100" t="s">
        <v>1391</v>
      </c>
      <c r="C189" s="240">
        <v>5841170</v>
      </c>
      <c r="D189" s="346">
        <f>D180</f>
        <v>44317</v>
      </c>
      <c r="E189" s="346">
        <f>E180</f>
        <v>44454</v>
      </c>
      <c r="F189" s="182">
        <f t="shared" si="0"/>
        <v>137</v>
      </c>
    </row>
    <row r="190" spans="1:6" ht="15.75" hidden="1" outlineLevel="1" x14ac:dyDescent="0.25">
      <c r="A190" s="258"/>
      <c r="B190" s="341" t="s">
        <v>1253</v>
      </c>
      <c r="C190" s="342"/>
      <c r="D190" s="342"/>
      <c r="E190" s="346"/>
      <c r="F190" s="182"/>
    </row>
    <row r="191" spans="1:6" ht="15.75" hidden="1" outlineLevel="1" x14ac:dyDescent="0.25">
      <c r="A191" s="258"/>
      <c r="B191" s="341" t="s">
        <v>1254</v>
      </c>
      <c r="C191" s="342"/>
      <c r="D191" s="342"/>
      <c r="E191" s="346"/>
      <c r="F191" s="182"/>
    </row>
    <row r="192" spans="1:6" ht="15.75" hidden="1" outlineLevel="1" x14ac:dyDescent="0.25">
      <c r="A192" s="258"/>
      <c r="B192" s="341" t="s">
        <v>1255</v>
      </c>
      <c r="C192" s="340"/>
      <c r="D192" s="350">
        <v>103.6</v>
      </c>
      <c r="E192" s="346"/>
      <c r="F192" s="182"/>
    </row>
    <row r="193" spans="1:6" ht="15.75" hidden="1" outlineLevel="1" x14ac:dyDescent="0.25">
      <c r="A193" s="258"/>
      <c r="B193" s="341" t="s">
        <v>1257</v>
      </c>
      <c r="C193" s="343" t="s">
        <v>1268</v>
      </c>
      <c r="D193" s="345">
        <f>(D192-100)/12*7/100+1</f>
        <v>1.0209999999999999</v>
      </c>
      <c r="E193" s="346"/>
      <c r="F193" s="182"/>
    </row>
    <row r="194" spans="1:6" ht="15.75" hidden="1" outlineLevel="1" x14ac:dyDescent="0.25">
      <c r="A194" s="258"/>
      <c r="B194" s="341" t="s">
        <v>1259</v>
      </c>
      <c r="C194" s="343">
        <v>103.7</v>
      </c>
      <c r="D194" s="345"/>
      <c r="E194" s="346"/>
      <c r="F194" s="182"/>
    </row>
    <row r="195" spans="1:6" ht="15.75" hidden="1" outlineLevel="1" x14ac:dyDescent="0.25">
      <c r="A195" s="258"/>
      <c r="B195" s="341" t="s">
        <v>1286</v>
      </c>
      <c r="C195" s="344" t="s">
        <v>1260</v>
      </c>
      <c r="D195" s="345">
        <f>(C194-100)/12*3/100+1</f>
        <v>1.0089999999999999</v>
      </c>
      <c r="E195" s="346"/>
      <c r="F195" s="182"/>
    </row>
    <row r="196" spans="1:6" ht="15.75" hidden="1" outlineLevel="1" x14ac:dyDescent="0.25">
      <c r="A196" s="258"/>
      <c r="B196" s="341" t="s">
        <v>1306</v>
      </c>
      <c r="C196" s="344" t="s">
        <v>1266</v>
      </c>
      <c r="D196" s="345">
        <f>(C194-100)/12*8/100+1</f>
        <v>1.0249999999999999</v>
      </c>
      <c r="E196" s="346"/>
      <c r="F196" s="182"/>
    </row>
    <row r="197" spans="1:6" ht="30" hidden="1" outlineLevel="1" x14ac:dyDescent="0.25">
      <c r="A197" s="258"/>
      <c r="B197" s="341" t="s">
        <v>1288</v>
      </c>
      <c r="C197" s="352" t="s">
        <v>1308</v>
      </c>
      <c r="D197" s="351">
        <f>D193*(D195+D196)/2</f>
        <v>1.038</v>
      </c>
      <c r="E197" s="346"/>
      <c r="F197" s="182"/>
    </row>
    <row r="198" spans="1:6" ht="15.75" hidden="1" outlineLevel="1" x14ac:dyDescent="0.2">
      <c r="A198" s="206" t="s">
        <v>1192</v>
      </c>
      <c r="B198" s="100" t="s">
        <v>1390</v>
      </c>
      <c r="C198" s="240">
        <v>141147</v>
      </c>
      <c r="D198" s="346">
        <f>D189</f>
        <v>44317</v>
      </c>
      <c r="E198" s="346">
        <f>E189</f>
        <v>44454</v>
      </c>
      <c r="F198" s="182">
        <f t="shared" si="0"/>
        <v>137</v>
      </c>
    </row>
    <row r="199" spans="1:6" ht="15.75" hidden="1" outlineLevel="1" x14ac:dyDescent="0.25">
      <c r="A199" s="258"/>
      <c r="B199" s="341" t="s">
        <v>1253</v>
      </c>
      <c r="C199" s="342"/>
      <c r="D199" s="342"/>
      <c r="E199" s="346"/>
      <c r="F199" s="182"/>
    </row>
    <row r="200" spans="1:6" ht="15.75" hidden="1" outlineLevel="1" x14ac:dyDescent="0.25">
      <c r="A200" s="258"/>
      <c r="B200" s="341" t="s">
        <v>1254</v>
      </c>
      <c r="C200" s="342"/>
      <c r="D200" s="342"/>
      <c r="E200" s="346"/>
      <c r="F200" s="182"/>
    </row>
    <row r="201" spans="1:6" ht="15.75" hidden="1" outlineLevel="1" x14ac:dyDescent="0.25">
      <c r="A201" s="258"/>
      <c r="B201" s="341" t="s">
        <v>1255</v>
      </c>
      <c r="C201" s="340"/>
      <c r="D201" s="350">
        <v>103.6</v>
      </c>
      <c r="E201" s="346"/>
      <c r="F201" s="182"/>
    </row>
    <row r="202" spans="1:6" ht="15.75" hidden="1" outlineLevel="1" x14ac:dyDescent="0.25">
      <c r="A202" s="258"/>
      <c r="B202" s="341" t="s">
        <v>1257</v>
      </c>
      <c r="C202" s="343" t="s">
        <v>1268</v>
      </c>
      <c r="D202" s="345">
        <f>(D201-100)/12*7/100+1</f>
        <v>1.0209999999999999</v>
      </c>
      <c r="E202" s="346"/>
      <c r="F202" s="182"/>
    </row>
    <row r="203" spans="1:6" ht="15.75" hidden="1" outlineLevel="1" x14ac:dyDescent="0.25">
      <c r="A203" s="258"/>
      <c r="B203" s="341" t="s">
        <v>1259</v>
      </c>
      <c r="C203" s="343">
        <v>103.7</v>
      </c>
      <c r="D203" s="345"/>
      <c r="E203" s="346"/>
      <c r="F203" s="182"/>
    </row>
    <row r="204" spans="1:6" ht="15.75" hidden="1" outlineLevel="1" x14ac:dyDescent="0.25">
      <c r="A204" s="258"/>
      <c r="B204" s="341" t="s">
        <v>1286</v>
      </c>
      <c r="C204" s="344" t="s">
        <v>1260</v>
      </c>
      <c r="D204" s="345">
        <f>(C203-100)/12*3/100+1</f>
        <v>1.0089999999999999</v>
      </c>
      <c r="E204" s="346"/>
      <c r="F204" s="182"/>
    </row>
    <row r="205" spans="1:6" ht="15.75" hidden="1" outlineLevel="1" x14ac:dyDescent="0.25">
      <c r="A205" s="258"/>
      <c r="B205" s="341" t="s">
        <v>1306</v>
      </c>
      <c r="C205" s="344" t="s">
        <v>1266</v>
      </c>
      <c r="D205" s="345">
        <f>(C203-100)/12*8/100+1</f>
        <v>1.0249999999999999</v>
      </c>
      <c r="E205" s="346"/>
      <c r="F205" s="182"/>
    </row>
    <row r="206" spans="1:6" ht="30" hidden="1" outlineLevel="1" x14ac:dyDescent="0.25">
      <c r="A206" s="258"/>
      <c r="B206" s="341" t="s">
        <v>1288</v>
      </c>
      <c r="C206" s="352" t="s">
        <v>1308</v>
      </c>
      <c r="D206" s="351">
        <f>D202*(D204+D205)/2</f>
        <v>1.038</v>
      </c>
      <c r="E206" s="346"/>
      <c r="F206" s="182"/>
    </row>
    <row r="207" spans="1:6" ht="15.75" hidden="1" outlineLevel="1" x14ac:dyDescent="0.2">
      <c r="A207" s="206" t="s">
        <v>1193</v>
      </c>
      <c r="B207" s="100" t="s">
        <v>1389</v>
      </c>
      <c r="C207" s="240">
        <v>8796326</v>
      </c>
      <c r="D207" s="346">
        <f>D198</f>
        <v>44317</v>
      </c>
      <c r="E207" s="346">
        <f>E198</f>
        <v>44454</v>
      </c>
      <c r="F207" s="182">
        <f t="shared" si="0"/>
        <v>137</v>
      </c>
    </row>
    <row r="208" spans="1:6" ht="15.75" hidden="1" outlineLevel="1" x14ac:dyDescent="0.25">
      <c r="A208" s="258"/>
      <c r="B208" s="341" t="s">
        <v>1253</v>
      </c>
      <c r="C208" s="342"/>
      <c r="D208" s="342"/>
      <c r="E208" s="346"/>
      <c r="F208" s="182"/>
    </row>
    <row r="209" spans="1:6" ht="15.75" hidden="1" outlineLevel="1" x14ac:dyDescent="0.25">
      <c r="A209" s="258"/>
      <c r="B209" s="341" t="s">
        <v>1254</v>
      </c>
      <c r="C209" s="342"/>
      <c r="D209" s="342"/>
      <c r="E209" s="346"/>
      <c r="F209" s="182"/>
    </row>
    <row r="210" spans="1:6" ht="15.75" hidden="1" outlineLevel="1" x14ac:dyDescent="0.25">
      <c r="A210" s="258"/>
      <c r="B210" s="341" t="s">
        <v>1255</v>
      </c>
      <c r="C210" s="340"/>
      <c r="D210" s="350">
        <v>103.6</v>
      </c>
      <c r="E210" s="346"/>
      <c r="F210" s="182"/>
    </row>
    <row r="211" spans="1:6" ht="15.75" hidden="1" outlineLevel="1" x14ac:dyDescent="0.25">
      <c r="A211" s="258"/>
      <c r="B211" s="341" t="s">
        <v>1257</v>
      </c>
      <c r="C211" s="343" t="s">
        <v>1268</v>
      </c>
      <c r="D211" s="345">
        <f>(D210-100)/12*7/100+1</f>
        <v>1.0209999999999999</v>
      </c>
      <c r="E211" s="346"/>
      <c r="F211" s="182"/>
    </row>
    <row r="212" spans="1:6" ht="15.75" hidden="1" outlineLevel="1" x14ac:dyDescent="0.25">
      <c r="A212" s="258"/>
      <c r="B212" s="341" t="s">
        <v>1259</v>
      </c>
      <c r="C212" s="343">
        <v>103.7</v>
      </c>
      <c r="D212" s="345"/>
      <c r="E212" s="346"/>
      <c r="F212" s="182"/>
    </row>
    <row r="213" spans="1:6" ht="15.75" hidden="1" outlineLevel="1" x14ac:dyDescent="0.25">
      <c r="A213" s="258"/>
      <c r="B213" s="341" t="s">
        <v>1286</v>
      </c>
      <c r="C213" s="344" t="s">
        <v>1260</v>
      </c>
      <c r="D213" s="345">
        <f>(C212-100)/12*3/100+1</f>
        <v>1.0089999999999999</v>
      </c>
      <c r="E213" s="346"/>
      <c r="F213" s="182"/>
    </row>
    <row r="214" spans="1:6" ht="15.75" hidden="1" outlineLevel="1" x14ac:dyDescent="0.25">
      <c r="A214" s="258"/>
      <c r="B214" s="341" t="s">
        <v>1306</v>
      </c>
      <c r="C214" s="344" t="s">
        <v>1266</v>
      </c>
      <c r="D214" s="345">
        <f>(C212-100)/12*8/100+1</f>
        <v>1.0249999999999999</v>
      </c>
      <c r="E214" s="346"/>
      <c r="F214" s="182"/>
    </row>
    <row r="215" spans="1:6" ht="30" hidden="1" outlineLevel="1" x14ac:dyDescent="0.25">
      <c r="A215" s="258"/>
      <c r="B215" s="341" t="s">
        <v>1288</v>
      </c>
      <c r="C215" s="352" t="s">
        <v>1308</v>
      </c>
      <c r="D215" s="351">
        <f>D211*(D213+D214)/2</f>
        <v>1.038</v>
      </c>
      <c r="E215" s="346"/>
      <c r="F215" s="182"/>
    </row>
    <row r="216" spans="1:6" ht="15.75" hidden="1" outlineLevel="1" x14ac:dyDescent="0.2">
      <c r="A216" s="208" t="s">
        <v>1197</v>
      </c>
      <c r="B216" s="325" t="s">
        <v>1385</v>
      </c>
      <c r="C216" s="331">
        <v>14668658</v>
      </c>
      <c r="D216" s="451">
        <v>44409</v>
      </c>
      <c r="E216" s="451">
        <v>44484</v>
      </c>
      <c r="F216" s="182">
        <f t="shared" ref="F216" si="1">E216-D216</f>
        <v>75</v>
      </c>
    </row>
    <row r="217" spans="1:6" ht="15.75" hidden="1" outlineLevel="1" x14ac:dyDescent="0.25">
      <c r="A217" s="258"/>
      <c r="B217" s="341" t="s">
        <v>1253</v>
      </c>
      <c r="C217" s="342"/>
      <c r="D217" s="342"/>
      <c r="E217" s="346"/>
      <c r="F217" s="182"/>
    </row>
    <row r="218" spans="1:6" ht="15.75" hidden="1" outlineLevel="1" x14ac:dyDescent="0.25">
      <c r="A218" s="258"/>
      <c r="B218" s="341" t="s">
        <v>1254</v>
      </c>
      <c r="C218" s="342"/>
      <c r="D218" s="342"/>
      <c r="E218" s="346"/>
      <c r="F218" s="182"/>
    </row>
    <row r="219" spans="1:6" ht="15.75" hidden="1" outlineLevel="1" x14ac:dyDescent="0.25">
      <c r="A219" s="258"/>
      <c r="B219" s="341" t="s">
        <v>1255</v>
      </c>
      <c r="C219" s="340"/>
      <c r="D219" s="350">
        <v>103.6</v>
      </c>
      <c r="E219" s="346"/>
      <c r="F219" s="182"/>
    </row>
    <row r="220" spans="1:6" ht="15.75" hidden="1" outlineLevel="1" x14ac:dyDescent="0.25">
      <c r="A220" s="258"/>
      <c r="B220" s="341" t="s">
        <v>1257</v>
      </c>
      <c r="C220" s="343" t="s">
        <v>1268</v>
      </c>
      <c r="D220" s="345">
        <f>(D219-100)/12*7/100+1</f>
        <v>1.0209999999999999</v>
      </c>
      <c r="E220" s="346"/>
      <c r="F220" s="182"/>
    </row>
    <row r="221" spans="1:6" ht="15.75" hidden="1" outlineLevel="1" x14ac:dyDescent="0.25">
      <c r="A221" s="258"/>
      <c r="B221" s="341" t="s">
        <v>1259</v>
      </c>
      <c r="C221" s="343">
        <v>103.7</v>
      </c>
      <c r="D221" s="345"/>
      <c r="E221" s="346"/>
      <c r="F221" s="182"/>
    </row>
    <row r="222" spans="1:6" ht="15.75" hidden="1" outlineLevel="1" x14ac:dyDescent="0.25">
      <c r="A222" s="258"/>
      <c r="B222" s="341" t="s">
        <v>1290</v>
      </c>
      <c r="C222" s="344" t="s">
        <v>1291</v>
      </c>
      <c r="D222" s="345">
        <f>(C221-100)/12*6/100+1</f>
        <v>1.0189999999999999</v>
      </c>
      <c r="E222" s="346"/>
      <c r="F222" s="182"/>
    </row>
    <row r="223" spans="1:6" ht="15.75" hidden="1" outlineLevel="1" x14ac:dyDescent="0.25">
      <c r="A223" s="258"/>
      <c r="B223" s="341" t="s">
        <v>1306</v>
      </c>
      <c r="C223" s="344" t="s">
        <v>1266</v>
      </c>
      <c r="D223" s="345">
        <f>(C221-100)/12*8/100+1</f>
        <v>1.0249999999999999</v>
      </c>
      <c r="E223" s="346"/>
      <c r="F223" s="182"/>
    </row>
    <row r="224" spans="1:6" ht="30" hidden="1" outlineLevel="1" x14ac:dyDescent="0.25">
      <c r="A224" s="258"/>
      <c r="B224" s="341" t="s">
        <v>1288</v>
      </c>
      <c r="C224" s="352" t="s">
        <v>1312</v>
      </c>
      <c r="D224" s="351">
        <f>D220*(D222+D223)/2</f>
        <v>1.0429999999999999</v>
      </c>
      <c r="E224" s="346"/>
      <c r="F224" s="182"/>
    </row>
    <row r="225" spans="1:6" ht="15.75" hidden="1" outlineLevel="1" x14ac:dyDescent="0.2">
      <c r="A225" s="208" t="s">
        <v>1194</v>
      </c>
      <c r="B225" s="325" t="s">
        <v>1236</v>
      </c>
      <c r="C225" s="331">
        <v>14668658</v>
      </c>
      <c r="D225" s="219">
        <v>44409</v>
      </c>
      <c r="E225" s="219">
        <v>44484</v>
      </c>
      <c r="F225" s="182">
        <f t="shared" si="0"/>
        <v>75</v>
      </c>
    </row>
    <row r="226" spans="1:6" ht="15.75" hidden="1" outlineLevel="1" x14ac:dyDescent="0.25">
      <c r="A226" s="258"/>
      <c r="B226" s="341" t="s">
        <v>1253</v>
      </c>
      <c r="C226" s="342"/>
      <c r="D226" s="342"/>
      <c r="E226" s="346"/>
      <c r="F226" s="182"/>
    </row>
    <row r="227" spans="1:6" ht="15.75" hidden="1" outlineLevel="1" x14ac:dyDescent="0.25">
      <c r="A227" s="258"/>
      <c r="B227" s="341" t="s">
        <v>1254</v>
      </c>
      <c r="C227" s="342"/>
      <c r="D227" s="342"/>
      <c r="E227" s="346"/>
      <c r="F227" s="182"/>
    </row>
    <row r="228" spans="1:6" ht="15.75" hidden="1" outlineLevel="1" x14ac:dyDescent="0.25">
      <c r="A228" s="258"/>
      <c r="B228" s="341" t="s">
        <v>1255</v>
      </c>
      <c r="C228" s="340"/>
      <c r="D228" s="350">
        <v>103.6</v>
      </c>
      <c r="E228" s="346"/>
      <c r="F228" s="182"/>
    </row>
    <row r="229" spans="1:6" ht="15.75" hidden="1" outlineLevel="1" x14ac:dyDescent="0.25">
      <c r="A229" s="258"/>
      <c r="B229" s="341" t="s">
        <v>1257</v>
      </c>
      <c r="C229" s="343" t="s">
        <v>1268</v>
      </c>
      <c r="D229" s="345">
        <f>(D228-100)/12*7/100+1</f>
        <v>1.0209999999999999</v>
      </c>
      <c r="E229" s="346"/>
      <c r="F229" s="182"/>
    </row>
    <row r="230" spans="1:6" ht="15.75" hidden="1" outlineLevel="1" x14ac:dyDescent="0.25">
      <c r="A230" s="258"/>
      <c r="B230" s="341" t="s">
        <v>1259</v>
      </c>
      <c r="C230" s="343">
        <v>103.7</v>
      </c>
      <c r="D230" s="345"/>
      <c r="E230" s="346"/>
      <c r="F230" s="182"/>
    </row>
    <row r="231" spans="1:6" ht="15.75" hidden="1" outlineLevel="1" x14ac:dyDescent="0.25">
      <c r="A231" s="258"/>
      <c r="B231" s="341" t="s">
        <v>1290</v>
      </c>
      <c r="C231" s="344" t="s">
        <v>1291</v>
      </c>
      <c r="D231" s="345">
        <f>(C230-100)/12*6/100+1</f>
        <v>1.0189999999999999</v>
      </c>
      <c r="E231" s="346"/>
      <c r="F231" s="182"/>
    </row>
    <row r="232" spans="1:6" ht="15.75" hidden="1" outlineLevel="1" x14ac:dyDescent="0.25">
      <c r="A232" s="258"/>
      <c r="B232" s="341" t="s">
        <v>1306</v>
      </c>
      <c r="C232" s="344" t="s">
        <v>1266</v>
      </c>
      <c r="D232" s="345">
        <f>(C230-100)/12*8/100+1</f>
        <v>1.0249999999999999</v>
      </c>
      <c r="E232" s="346"/>
      <c r="F232" s="182"/>
    </row>
    <row r="233" spans="1:6" ht="30" hidden="1" outlineLevel="1" x14ac:dyDescent="0.25">
      <c r="A233" s="258"/>
      <c r="B233" s="341" t="s">
        <v>1288</v>
      </c>
      <c r="C233" s="352" t="s">
        <v>1312</v>
      </c>
      <c r="D233" s="351">
        <f>D229*(D231+D232)/2</f>
        <v>1.0429999999999999</v>
      </c>
      <c r="E233" s="346"/>
      <c r="F233" s="182"/>
    </row>
    <row r="234" spans="1:6" ht="15.75" hidden="1" outlineLevel="1" x14ac:dyDescent="0.2">
      <c r="A234" s="211" t="s">
        <v>1386</v>
      </c>
      <c r="B234" s="171" t="s">
        <v>1209</v>
      </c>
      <c r="C234" s="240">
        <v>2220293</v>
      </c>
      <c r="D234" s="346">
        <f>D22</f>
        <v>44317</v>
      </c>
      <c r="E234" s="346">
        <f>E22</f>
        <v>44805</v>
      </c>
      <c r="F234" s="182">
        <f t="shared" si="0"/>
        <v>488</v>
      </c>
    </row>
    <row r="235" spans="1:6" ht="15.75" hidden="1" outlineLevel="1" x14ac:dyDescent="0.25">
      <c r="A235" s="258"/>
      <c r="B235" s="341" t="s">
        <v>1253</v>
      </c>
      <c r="C235" s="342"/>
      <c r="D235" s="342"/>
      <c r="E235" s="346"/>
      <c r="F235" s="182"/>
    </row>
    <row r="236" spans="1:6" ht="15.75" hidden="1" outlineLevel="1" x14ac:dyDescent="0.25">
      <c r="A236" s="258"/>
      <c r="B236" s="341" t="s">
        <v>1254</v>
      </c>
      <c r="C236" s="342"/>
      <c r="D236" s="342"/>
      <c r="E236" s="346"/>
      <c r="F236" s="182"/>
    </row>
    <row r="237" spans="1:6" ht="15.75" hidden="1" outlineLevel="1" x14ac:dyDescent="0.25">
      <c r="A237" s="258"/>
      <c r="B237" s="341" t="s">
        <v>1255</v>
      </c>
      <c r="C237" s="340"/>
      <c r="D237" s="350">
        <v>103.6</v>
      </c>
      <c r="E237" s="346"/>
      <c r="F237" s="182"/>
    </row>
    <row r="238" spans="1:6" ht="15.75" hidden="1" outlineLevel="1" x14ac:dyDescent="0.25">
      <c r="A238" s="258"/>
      <c r="B238" s="341" t="s">
        <v>1257</v>
      </c>
      <c r="C238" s="343" t="s">
        <v>1268</v>
      </c>
      <c r="D238" s="345">
        <f>(D237-100)/12*7/100+1</f>
        <v>1.0209999999999999</v>
      </c>
      <c r="E238" s="346"/>
      <c r="F238" s="182"/>
    </row>
    <row r="239" spans="1:6" ht="15.75" hidden="1" outlineLevel="1" x14ac:dyDescent="0.25">
      <c r="A239" s="258"/>
      <c r="B239" s="341" t="s">
        <v>1259</v>
      </c>
      <c r="C239" s="343">
        <v>103.7</v>
      </c>
      <c r="D239" s="345"/>
      <c r="E239" s="346"/>
      <c r="F239" s="182"/>
    </row>
    <row r="240" spans="1:6" ht="15.75" hidden="1" outlineLevel="1" x14ac:dyDescent="0.25">
      <c r="A240" s="258"/>
      <c r="B240" s="341" t="s">
        <v>1286</v>
      </c>
      <c r="C240" s="344" t="s">
        <v>1260</v>
      </c>
      <c r="D240" s="345">
        <f>(C239-100)/12*3/100+1</f>
        <v>1.0089999999999999</v>
      </c>
      <c r="E240" s="346"/>
      <c r="F240" s="182"/>
    </row>
    <row r="241" spans="1:6" ht="15.75" hidden="1" outlineLevel="1" x14ac:dyDescent="0.25">
      <c r="A241" s="258"/>
      <c r="B241" s="341" t="s">
        <v>1306</v>
      </c>
      <c r="C241" s="344" t="s">
        <v>1266</v>
      </c>
      <c r="D241" s="345">
        <f>(C239-100)/12*8/100+1</f>
        <v>1.0249999999999999</v>
      </c>
      <c r="E241" s="346"/>
      <c r="F241" s="182"/>
    </row>
    <row r="242" spans="1:6" ht="30" hidden="1" outlineLevel="1" x14ac:dyDescent="0.25">
      <c r="A242" s="258"/>
      <c r="B242" s="341" t="s">
        <v>1288</v>
      </c>
      <c r="C242" s="352" t="s">
        <v>1308</v>
      </c>
      <c r="D242" s="351">
        <f>D238*(D240+D241)/2</f>
        <v>1.038</v>
      </c>
      <c r="E242" s="346"/>
      <c r="F242" s="182"/>
    </row>
    <row r="243" spans="1:6" ht="15.75" collapsed="1" x14ac:dyDescent="0.2">
      <c r="A243" s="282" t="s">
        <v>295</v>
      </c>
      <c r="B243" s="281" t="s">
        <v>296</v>
      </c>
      <c r="C243" s="154"/>
      <c r="D243" s="453">
        <f>ГПР!C15</f>
        <v>44805</v>
      </c>
      <c r="E243" s="453">
        <f>ГПР!D15</f>
        <v>44835</v>
      </c>
      <c r="F243" s="476">
        <f>(E243-D243)/30.5</f>
        <v>1</v>
      </c>
    </row>
    <row r="244" spans="1:6" ht="63" x14ac:dyDescent="0.2">
      <c r="A244" s="256"/>
      <c r="B244" s="457" t="s">
        <v>1403</v>
      </c>
      <c r="C244" s="456" t="s">
        <v>1497</v>
      </c>
      <c r="D244" s="458">
        <f>D16^4*D17^12*D18^8*(D18+D18^1)/2</f>
        <v>1.0780000000000001</v>
      </c>
      <c r="E244" s="452"/>
      <c r="F244" s="455"/>
    </row>
    <row r="245" spans="1:6" ht="15.75" hidden="1" outlineLevel="1" x14ac:dyDescent="0.2">
      <c r="A245" s="256" t="s">
        <v>297</v>
      </c>
      <c r="B245" s="284" t="s">
        <v>989</v>
      </c>
      <c r="C245" s="240">
        <v>105380</v>
      </c>
      <c r="D245" s="346">
        <f>D243</f>
        <v>44805</v>
      </c>
      <c r="E245" s="346">
        <v>44459</v>
      </c>
      <c r="F245" s="182">
        <f t="shared" si="0"/>
        <v>-346</v>
      </c>
    </row>
    <row r="246" spans="1:6" ht="15.75" hidden="1" outlineLevel="1" x14ac:dyDescent="0.25">
      <c r="A246" s="258"/>
      <c r="B246" s="341" t="s">
        <v>1253</v>
      </c>
      <c r="C246" s="342"/>
      <c r="D246" s="342"/>
      <c r="E246" s="346"/>
      <c r="F246" s="182"/>
    </row>
    <row r="247" spans="1:6" ht="15.75" hidden="1" outlineLevel="1" x14ac:dyDescent="0.25">
      <c r="A247" s="258"/>
      <c r="B247" s="341" t="s">
        <v>1254</v>
      </c>
      <c r="C247" s="342"/>
      <c r="D247" s="342"/>
      <c r="E247" s="346"/>
      <c r="F247" s="182"/>
    </row>
    <row r="248" spans="1:6" ht="15.75" hidden="1" outlineLevel="1" x14ac:dyDescent="0.25">
      <c r="A248" s="258"/>
      <c r="B248" s="341" t="s">
        <v>1255</v>
      </c>
      <c r="C248" s="340"/>
      <c r="D248" s="350">
        <v>103.6</v>
      </c>
      <c r="E248" s="346"/>
      <c r="F248" s="182"/>
    </row>
    <row r="249" spans="1:6" ht="15.75" hidden="1" outlineLevel="1" x14ac:dyDescent="0.25">
      <c r="A249" s="258"/>
      <c r="B249" s="341" t="s">
        <v>1257</v>
      </c>
      <c r="C249" s="343" t="s">
        <v>1268</v>
      </c>
      <c r="D249" s="345">
        <f>(D248-100)/12*7/100+1</f>
        <v>1.0209999999999999</v>
      </c>
      <c r="E249" s="346"/>
      <c r="F249" s="182"/>
    </row>
    <row r="250" spans="1:6" ht="15.75" hidden="1" outlineLevel="1" x14ac:dyDescent="0.25">
      <c r="A250" s="258"/>
      <c r="B250" s="341" t="s">
        <v>1259</v>
      </c>
      <c r="C250" s="343">
        <v>103.7</v>
      </c>
      <c r="D250" s="345"/>
      <c r="E250" s="346"/>
      <c r="F250" s="182"/>
    </row>
    <row r="251" spans="1:6" ht="15.75" hidden="1" outlineLevel="1" x14ac:dyDescent="0.25">
      <c r="A251" s="258"/>
      <c r="B251" s="341" t="s">
        <v>1304</v>
      </c>
      <c r="C251" s="344" t="s">
        <v>1267</v>
      </c>
      <c r="D251" s="345">
        <f>(C250-100)/12*7/100+1</f>
        <v>1.022</v>
      </c>
      <c r="E251" s="346"/>
      <c r="F251" s="182"/>
    </row>
    <row r="252" spans="1:6" ht="15.75" hidden="1" outlineLevel="1" x14ac:dyDescent="0.25">
      <c r="A252" s="258"/>
      <c r="B252" s="341" t="s">
        <v>1301</v>
      </c>
      <c r="C252" s="344" t="s">
        <v>1266</v>
      </c>
      <c r="D252" s="345">
        <f>(C250-100)/12*8/100+1</f>
        <v>1.0249999999999999</v>
      </c>
      <c r="E252" s="346"/>
      <c r="F252" s="182"/>
    </row>
    <row r="253" spans="1:6" ht="30" hidden="1" outlineLevel="1" x14ac:dyDescent="0.25">
      <c r="A253" s="258"/>
      <c r="B253" s="341" t="s">
        <v>1288</v>
      </c>
      <c r="C253" s="352" t="s">
        <v>1302</v>
      </c>
      <c r="D253" s="351">
        <f>D249*(D251+D252)/2</f>
        <v>1.0449999999999999</v>
      </c>
      <c r="E253" s="346"/>
      <c r="F253" s="182"/>
    </row>
    <row r="254" spans="1:6" ht="15.75" hidden="1" outlineLevel="1" x14ac:dyDescent="0.2">
      <c r="A254" s="258" t="s">
        <v>298</v>
      </c>
      <c r="B254" s="255" t="s">
        <v>988</v>
      </c>
      <c r="C254" s="240">
        <v>584852</v>
      </c>
      <c r="D254" s="346">
        <v>44454</v>
      </c>
      <c r="E254" s="346">
        <v>44484</v>
      </c>
      <c r="F254" s="182">
        <f t="shared" si="0"/>
        <v>30</v>
      </c>
    </row>
    <row r="255" spans="1:6" ht="15.75" hidden="1" outlineLevel="1" x14ac:dyDescent="0.25">
      <c r="A255" s="258"/>
      <c r="B255" s="341" t="s">
        <v>1253</v>
      </c>
      <c r="C255" s="342"/>
      <c r="D255" s="342"/>
      <c r="E255" s="346"/>
      <c r="F255" s="182"/>
    </row>
    <row r="256" spans="1:6" ht="15.75" hidden="1" outlineLevel="1" x14ac:dyDescent="0.25">
      <c r="A256" s="258"/>
      <c r="B256" s="341" t="s">
        <v>1254</v>
      </c>
      <c r="C256" s="342"/>
      <c r="D256" s="342"/>
      <c r="E256" s="346"/>
      <c r="F256" s="182"/>
    </row>
    <row r="257" spans="1:6" ht="15.75" hidden="1" outlineLevel="1" x14ac:dyDescent="0.25">
      <c r="A257" s="258"/>
      <c r="B257" s="341" t="s">
        <v>1255</v>
      </c>
      <c r="C257" s="340"/>
      <c r="D257" s="350">
        <v>103.6</v>
      </c>
      <c r="E257" s="346"/>
      <c r="F257" s="182"/>
    </row>
    <row r="258" spans="1:6" ht="15.75" hidden="1" outlineLevel="1" x14ac:dyDescent="0.25">
      <c r="A258" s="258"/>
      <c r="B258" s="341" t="s">
        <v>1257</v>
      </c>
      <c r="C258" s="343" t="s">
        <v>1268</v>
      </c>
      <c r="D258" s="345">
        <f>(D257-100)/12*7/100+1</f>
        <v>1.0209999999999999</v>
      </c>
      <c r="E258" s="346"/>
      <c r="F258" s="182"/>
    </row>
    <row r="259" spans="1:6" ht="15.75" hidden="1" outlineLevel="1" x14ac:dyDescent="0.25">
      <c r="A259" s="258"/>
      <c r="B259" s="341" t="s">
        <v>1259</v>
      </c>
      <c r="C259" s="343">
        <v>103.7</v>
      </c>
      <c r="D259" s="345"/>
      <c r="E259" s="346"/>
      <c r="F259" s="182"/>
    </row>
    <row r="260" spans="1:6" ht="15.75" hidden="1" outlineLevel="1" x14ac:dyDescent="0.25">
      <c r="A260" s="258"/>
      <c r="B260" s="341" t="s">
        <v>1309</v>
      </c>
      <c r="C260" s="344" t="s">
        <v>1266</v>
      </c>
      <c r="D260" s="345">
        <f>(C259-100)/12*8/100+1</f>
        <v>1.0249999999999999</v>
      </c>
      <c r="E260" s="346"/>
      <c r="F260" s="182"/>
    </row>
    <row r="261" spans="1:6" ht="15.75" hidden="1" outlineLevel="1" x14ac:dyDescent="0.25">
      <c r="A261" s="258"/>
      <c r="B261" s="341" t="s">
        <v>1310</v>
      </c>
      <c r="C261" s="344" t="s">
        <v>1269</v>
      </c>
      <c r="D261" s="345">
        <f>(C259-100)/12*9/100+1</f>
        <v>1.028</v>
      </c>
      <c r="E261" s="346"/>
      <c r="F261" s="182"/>
    </row>
    <row r="262" spans="1:6" ht="30" hidden="1" outlineLevel="1" x14ac:dyDescent="0.25">
      <c r="A262" s="258"/>
      <c r="B262" s="341" t="s">
        <v>1288</v>
      </c>
      <c r="C262" s="352" t="s">
        <v>1311</v>
      </c>
      <c r="D262" s="351">
        <f>D258*(D260+D261)/2</f>
        <v>1.048</v>
      </c>
      <c r="E262" s="346"/>
      <c r="F262" s="182"/>
    </row>
    <row r="263" spans="1:6" ht="15.75" hidden="1" outlineLevel="1" x14ac:dyDescent="0.2">
      <c r="A263" s="258" t="s">
        <v>299</v>
      </c>
      <c r="B263" s="255" t="s">
        <v>1209</v>
      </c>
      <c r="C263" s="240">
        <v>13805</v>
      </c>
      <c r="D263" s="346">
        <f>D243</f>
        <v>44805</v>
      </c>
      <c r="E263" s="346">
        <f>E243</f>
        <v>44835</v>
      </c>
      <c r="F263" s="182">
        <f t="shared" ref="F263" si="2">E263-D263</f>
        <v>30</v>
      </c>
    </row>
    <row r="264" spans="1:6" ht="15.75" hidden="1" outlineLevel="1" x14ac:dyDescent="0.25">
      <c r="A264" s="258"/>
      <c r="B264" s="341" t="s">
        <v>1253</v>
      </c>
      <c r="C264" s="342"/>
      <c r="D264" s="342"/>
      <c r="E264" s="346"/>
      <c r="F264" s="182"/>
    </row>
    <row r="265" spans="1:6" ht="15.75" hidden="1" outlineLevel="1" x14ac:dyDescent="0.25">
      <c r="A265" s="258"/>
      <c r="B265" s="341" t="s">
        <v>1254</v>
      </c>
      <c r="C265" s="342"/>
      <c r="D265" s="342"/>
      <c r="E265" s="346"/>
      <c r="F265" s="182"/>
    </row>
    <row r="266" spans="1:6" ht="15.75" hidden="1" outlineLevel="1" x14ac:dyDescent="0.25">
      <c r="A266" s="258"/>
      <c r="B266" s="341" t="s">
        <v>1255</v>
      </c>
      <c r="C266" s="340"/>
      <c r="D266" s="350">
        <v>103.6</v>
      </c>
      <c r="E266" s="346"/>
      <c r="F266" s="182"/>
    </row>
    <row r="267" spans="1:6" ht="15.75" hidden="1" outlineLevel="1" x14ac:dyDescent="0.25">
      <c r="A267" s="258"/>
      <c r="B267" s="341" t="s">
        <v>1257</v>
      </c>
      <c r="C267" s="343" t="s">
        <v>1268</v>
      </c>
      <c r="D267" s="345">
        <f>(D266-100)/12*7/100+1</f>
        <v>1.0209999999999999</v>
      </c>
      <c r="E267" s="346"/>
      <c r="F267" s="182"/>
    </row>
    <row r="268" spans="1:6" ht="15.75" hidden="1" outlineLevel="1" x14ac:dyDescent="0.25">
      <c r="A268" s="258"/>
      <c r="B268" s="341" t="s">
        <v>1259</v>
      </c>
      <c r="C268" s="343">
        <v>103.7</v>
      </c>
      <c r="D268" s="345"/>
      <c r="E268" s="346"/>
      <c r="F268" s="182"/>
    </row>
    <row r="269" spans="1:6" ht="15.75" hidden="1" outlineLevel="1" x14ac:dyDescent="0.25">
      <c r="A269" s="258"/>
      <c r="B269" s="341" t="s">
        <v>1304</v>
      </c>
      <c r="C269" s="344" t="s">
        <v>1267</v>
      </c>
      <c r="D269" s="345">
        <f>(C268-100)/12*7/100+1</f>
        <v>1.022</v>
      </c>
      <c r="E269" s="346"/>
      <c r="F269" s="182"/>
    </row>
    <row r="270" spans="1:6" ht="15.75" hidden="1" outlineLevel="1" x14ac:dyDescent="0.25">
      <c r="A270" s="258"/>
      <c r="B270" s="341" t="s">
        <v>1310</v>
      </c>
      <c r="C270" s="344" t="s">
        <v>1269</v>
      </c>
      <c r="D270" s="345">
        <f>(C268-100)/12*9/100+1</f>
        <v>1.028</v>
      </c>
      <c r="E270" s="346"/>
      <c r="F270" s="182"/>
    </row>
    <row r="271" spans="1:6" ht="30" hidden="1" outlineLevel="1" x14ac:dyDescent="0.25">
      <c r="A271" s="258"/>
      <c r="B271" s="341" t="s">
        <v>1288</v>
      </c>
      <c r="C271" s="352" t="s">
        <v>1313</v>
      </c>
      <c r="D271" s="351">
        <f>D267*(D269+D270)/2</f>
        <v>1.0469999999999999</v>
      </c>
      <c r="E271" s="346"/>
      <c r="F271" s="182"/>
    </row>
    <row r="272" spans="1:6" ht="15.75" hidden="1" outlineLevel="1" x14ac:dyDescent="0.25">
      <c r="A272" s="318"/>
      <c r="B272" s="320" t="s">
        <v>1233</v>
      </c>
      <c r="C272" s="326">
        <v>115882160</v>
      </c>
    </row>
    <row r="273" spans="1:6" ht="15.75" hidden="1" outlineLevel="1" x14ac:dyDescent="0.25">
      <c r="A273" s="324"/>
      <c r="B273" s="320" t="s">
        <v>1234</v>
      </c>
      <c r="C273" s="322">
        <v>23176432</v>
      </c>
    </row>
    <row r="274" spans="1:6" ht="15.75" hidden="1" outlineLevel="1" x14ac:dyDescent="0.25">
      <c r="A274" s="471"/>
      <c r="B274" s="472" t="s">
        <v>1235</v>
      </c>
      <c r="C274" s="473">
        <v>139058592</v>
      </c>
    </row>
    <row r="275" spans="1:6" ht="15.75" hidden="1" collapsed="1" x14ac:dyDescent="0.25">
      <c r="A275" s="454">
        <v>4</v>
      </c>
      <c r="B275" s="474" t="s">
        <v>1411</v>
      </c>
      <c r="C275" s="454"/>
      <c r="D275" s="453">
        <f>D22</f>
        <v>44317</v>
      </c>
      <c r="E275" s="453">
        <f>E243</f>
        <v>44835</v>
      </c>
      <c r="F275" s="476">
        <f>(E275-D275)/30.5</f>
        <v>17</v>
      </c>
    </row>
    <row r="276" spans="1:6" s="98" customFormat="1" ht="30" hidden="1" x14ac:dyDescent="0.25">
      <c r="A276" s="563"/>
      <c r="B276" s="564" t="s">
        <v>1394</v>
      </c>
      <c r="C276" s="564" t="s">
        <v>1498</v>
      </c>
      <c r="D276" s="565">
        <f>8/17</f>
        <v>0.47</v>
      </c>
      <c r="E276" s="452"/>
      <c r="F276" s="562"/>
    </row>
    <row r="277" spans="1:6" s="98" customFormat="1" ht="30" hidden="1" x14ac:dyDescent="0.25">
      <c r="A277" s="563"/>
      <c r="B277" s="564" t="s">
        <v>1408</v>
      </c>
      <c r="C277" s="564" t="s">
        <v>1499</v>
      </c>
      <c r="D277" s="565">
        <f>9/17</f>
        <v>0.53</v>
      </c>
      <c r="E277" s="452"/>
      <c r="F277" s="562"/>
    </row>
    <row r="278" spans="1:6" s="98" customFormat="1" ht="63" hidden="1" x14ac:dyDescent="0.25">
      <c r="A278" s="563"/>
      <c r="B278" s="564" t="s">
        <v>1402</v>
      </c>
      <c r="C278" s="456" t="s">
        <v>1492</v>
      </c>
      <c r="D278" s="580">
        <f>D16^4*D17^4*(D17+D17^8)/2</f>
        <v>1.038</v>
      </c>
      <c r="E278" s="452"/>
      <c r="F278" s="562"/>
    </row>
    <row r="279" spans="1:6" s="98" customFormat="1" ht="63" hidden="1" x14ac:dyDescent="0.25">
      <c r="A279" s="563"/>
      <c r="B279" s="564" t="s">
        <v>1410</v>
      </c>
      <c r="C279" s="456" t="s">
        <v>1500</v>
      </c>
      <c r="D279" s="580">
        <f>D16^4*D17^12*(D18+D18^9)/2</f>
        <v>1.0649999999999999</v>
      </c>
      <c r="E279" s="452"/>
      <c r="F279" s="562"/>
    </row>
    <row r="280" spans="1:6" ht="47.25" hidden="1" x14ac:dyDescent="0.2">
      <c r="A280" s="182"/>
      <c r="B280" s="457" t="s">
        <v>1403</v>
      </c>
      <c r="C280" s="456" t="s">
        <v>1501</v>
      </c>
      <c r="D280" s="475">
        <f>D276*D278+D277*D279</f>
        <v>1.052</v>
      </c>
      <c r="E280" s="452"/>
      <c r="F280" s="455"/>
    </row>
    <row r="292" outlineLevel="1" x14ac:dyDescent="0.2"/>
    <row r="293" outlineLevel="1" x14ac:dyDescent="0.2"/>
    <row r="294" outlineLevel="1" x14ac:dyDescent="0.2"/>
    <row r="341" outlineLevel="1" x14ac:dyDescent="0.2"/>
    <row r="342" outlineLevel="1" x14ac:dyDescent="0.2"/>
    <row r="343" outlineLevel="1" x14ac:dyDescent="0.2"/>
    <row r="385" outlineLevel="1" x14ac:dyDescent="0.2"/>
    <row r="386" outlineLevel="1" x14ac:dyDescent="0.2"/>
    <row r="387" outlineLevel="1" x14ac:dyDescent="0.2"/>
    <row r="405" outlineLevel="1" x14ac:dyDescent="0.2"/>
    <row r="406" outlineLevel="1" x14ac:dyDescent="0.2"/>
    <row r="407" outlineLevel="1" x14ac:dyDescent="0.2"/>
    <row r="441" outlineLevel="1" x14ac:dyDescent="0.2"/>
    <row r="442" outlineLevel="1" x14ac:dyDescent="0.2"/>
    <row r="443" outlineLevel="1" x14ac:dyDescent="0.2"/>
    <row r="468" outlineLevel="1" x14ac:dyDescent="0.2"/>
    <row r="469" outlineLevel="1" x14ac:dyDescent="0.2"/>
    <row r="470" outlineLevel="1" x14ac:dyDescent="0.2"/>
    <row r="491" outlineLevel="1" x14ac:dyDescent="0.2"/>
    <row r="492" outlineLevel="1" x14ac:dyDescent="0.2"/>
    <row r="493" outlineLevel="1" x14ac:dyDescent="0.2"/>
    <row r="536" outlineLevel="1" x14ac:dyDescent="0.2"/>
    <row r="537" outlineLevel="1" x14ac:dyDescent="0.2"/>
    <row r="538" outlineLevel="1" x14ac:dyDescent="0.2"/>
    <row r="565" outlineLevel="1" x14ac:dyDescent="0.2"/>
    <row r="566" outlineLevel="1" x14ac:dyDescent="0.2"/>
    <row r="567" outlineLevel="1" x14ac:dyDescent="0.2"/>
    <row r="599" outlineLevel="1" x14ac:dyDescent="0.2"/>
    <row r="600" outlineLevel="1" x14ac:dyDescent="0.2"/>
    <row r="601" outlineLevel="1" x14ac:dyDescent="0.2"/>
    <row r="626" outlineLevel="1" x14ac:dyDescent="0.2"/>
    <row r="627" outlineLevel="1" x14ac:dyDescent="0.2"/>
    <row r="628" outlineLevel="1" x14ac:dyDescent="0.2"/>
    <row r="656" outlineLevel="1" x14ac:dyDescent="0.2"/>
    <row r="657" outlineLevel="1" x14ac:dyDescent="0.2"/>
    <row r="658" outlineLevel="1" x14ac:dyDescent="0.2"/>
    <row r="687" outlineLevel="1" x14ac:dyDescent="0.2"/>
    <row r="688" outlineLevel="1" x14ac:dyDescent="0.2"/>
    <row r="689" outlineLevel="1" x14ac:dyDescent="0.2"/>
    <row r="709" outlineLevel="1" x14ac:dyDescent="0.2"/>
    <row r="710" outlineLevel="1" x14ac:dyDescent="0.2"/>
    <row r="711" outlineLevel="1" x14ac:dyDescent="0.2"/>
    <row r="735" outlineLevel="1" x14ac:dyDescent="0.2"/>
    <row r="736" outlineLevel="1" x14ac:dyDescent="0.2"/>
    <row r="737" outlineLevel="1" x14ac:dyDescent="0.2"/>
    <row r="763" outlineLevel="1" x14ac:dyDescent="0.2"/>
    <row r="764" outlineLevel="1" x14ac:dyDescent="0.2"/>
    <row r="765" outlineLevel="1" x14ac:dyDescent="0.2"/>
    <row r="786" outlineLevel="1" x14ac:dyDescent="0.2"/>
    <row r="787" outlineLevel="1" x14ac:dyDescent="0.2"/>
    <row r="788" outlineLevel="1" x14ac:dyDescent="0.2"/>
    <row r="810" outlineLevel="1" x14ac:dyDescent="0.2"/>
    <row r="811" outlineLevel="1" x14ac:dyDescent="0.2"/>
    <row r="812" outlineLevel="1" x14ac:dyDescent="0.2"/>
    <row r="834" outlineLevel="1" x14ac:dyDescent="0.2"/>
    <row r="835" outlineLevel="1" x14ac:dyDescent="0.2"/>
    <row r="836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62" outlineLevel="1" x14ac:dyDescent="0.2"/>
    <row r="1063" outlineLevel="1" x14ac:dyDescent="0.2"/>
    <row r="1064" outlineLevel="1" x14ac:dyDescent="0.2"/>
    <row r="1065" outlineLevel="1" x14ac:dyDescent="0.2"/>
    <row r="1086" outlineLevel="1" x14ac:dyDescent="0.2"/>
    <row r="1087" outlineLevel="1" x14ac:dyDescent="0.2"/>
    <row r="1088" outlineLevel="1" x14ac:dyDescent="0.2"/>
    <row r="1089" outlineLevel="1" x14ac:dyDescent="0.2"/>
    <row r="1112" outlineLevel="1" x14ac:dyDescent="0.2"/>
    <row r="1113" outlineLevel="1" x14ac:dyDescent="0.2"/>
    <row r="1114" outlineLevel="1" x14ac:dyDescent="0.2"/>
    <row r="1115" outlineLevel="1" x14ac:dyDescent="0.2"/>
  </sheetData>
  <mergeCells count="3">
    <mergeCell ref="D2:E2"/>
    <mergeCell ref="F2:F3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25.85546875" style="477" customWidth="1"/>
    <col min="2" max="2" width="37.7109375" style="477" customWidth="1"/>
    <col min="3" max="3" width="17.28515625" style="477" customWidth="1"/>
    <col min="4" max="4" width="14.28515625" style="477" customWidth="1"/>
    <col min="5" max="5" width="14.28515625" style="477" hidden="1" customWidth="1"/>
    <col min="6" max="6" width="16" style="477" hidden="1" customWidth="1"/>
    <col min="7" max="7" width="14.28515625" style="477" hidden="1" customWidth="1"/>
    <col min="8" max="8" width="16.5703125" style="477" hidden="1" customWidth="1"/>
    <col min="9" max="9" width="19.85546875" style="477" hidden="1" customWidth="1"/>
    <col min="10" max="10" width="35" style="477" customWidth="1"/>
    <col min="11" max="11" width="11.5703125" style="477" bestFit="1" customWidth="1"/>
    <col min="12" max="12" width="14.85546875" style="477" bestFit="1" customWidth="1"/>
    <col min="13" max="14" width="13.42578125" style="477" bestFit="1" customWidth="1"/>
    <col min="15" max="16" width="9.140625" style="477"/>
    <col min="17" max="17" width="12.28515625" style="477" bestFit="1" customWidth="1"/>
    <col min="18" max="18" width="12" style="477" bestFit="1" customWidth="1"/>
    <col min="19" max="19" width="9.85546875" style="477" bestFit="1" customWidth="1"/>
    <col min="20" max="20" width="10.85546875" style="477" bestFit="1" customWidth="1"/>
    <col min="21" max="16384" width="9.140625" style="477"/>
  </cols>
  <sheetData>
    <row r="1" spans="1:17" x14ac:dyDescent="0.25">
      <c r="A1" s="630" t="s">
        <v>1442</v>
      </c>
      <c r="B1" s="630"/>
      <c r="C1" s="630"/>
      <c r="D1" s="630"/>
      <c r="E1" s="630"/>
      <c r="F1" s="630"/>
      <c r="G1" s="630"/>
      <c r="H1" s="630"/>
      <c r="I1" s="630"/>
      <c r="J1" s="630"/>
    </row>
    <row r="2" spans="1:17" ht="25.5" customHeight="1" x14ac:dyDescent="0.25">
      <c r="A2" s="631" t="s">
        <v>1443</v>
      </c>
      <c r="B2" s="631"/>
      <c r="C2" s="631"/>
      <c r="D2" s="631"/>
      <c r="E2" s="631"/>
      <c r="F2" s="631"/>
      <c r="G2" s="631"/>
      <c r="H2" s="631"/>
      <c r="I2" s="631"/>
      <c r="J2" s="631"/>
    </row>
    <row r="3" spans="1:17" ht="36" customHeight="1" x14ac:dyDescent="0.25">
      <c r="A3" s="635" t="str">
        <f>НМЦ!B3</f>
        <v>Всесезонный туристско-рекреационный комплекс «Эльбрус», 
Кабардино-Балкарская Республика. Пассажирская подвесная канатная дорога EL3</v>
      </c>
      <c r="B3" s="635"/>
      <c r="C3" s="635"/>
      <c r="D3" s="635"/>
      <c r="E3" s="635"/>
      <c r="F3" s="635"/>
      <c r="G3" s="635"/>
      <c r="H3" s="635"/>
      <c r="I3" s="635"/>
      <c r="J3" s="635"/>
    </row>
    <row r="4" spans="1:17" ht="42" customHeight="1" x14ac:dyDescent="0.25">
      <c r="A4" s="478" t="s">
        <v>1417</v>
      </c>
      <c r="B4" s="479" t="s">
        <v>1418</v>
      </c>
      <c r="C4" s="632" t="s">
        <v>1419</v>
      </c>
      <c r="D4" s="632"/>
      <c r="E4" s="480" t="s">
        <v>1205</v>
      </c>
      <c r="F4" s="480" t="s">
        <v>1393</v>
      </c>
      <c r="G4" s="480" t="s">
        <v>1206</v>
      </c>
      <c r="H4" s="480" t="s">
        <v>1207</v>
      </c>
      <c r="I4" s="480" t="s">
        <v>1208</v>
      </c>
      <c r="J4" s="481" t="s">
        <v>1420</v>
      </c>
    </row>
    <row r="5" spans="1:17" x14ac:dyDescent="0.25">
      <c r="A5" s="478">
        <v>1</v>
      </c>
      <c r="B5" s="478">
        <v>2</v>
      </c>
      <c r="C5" s="478">
        <v>3</v>
      </c>
      <c r="D5" s="482">
        <v>4</v>
      </c>
      <c r="E5" s="482">
        <v>5</v>
      </c>
      <c r="F5" s="482">
        <v>6</v>
      </c>
      <c r="G5" s="482">
        <v>7</v>
      </c>
      <c r="H5" s="482">
        <v>8</v>
      </c>
      <c r="I5" s="482">
        <v>9</v>
      </c>
      <c r="J5" s="483">
        <v>10</v>
      </c>
    </row>
    <row r="6" spans="1:17" ht="63.75" x14ac:dyDescent="0.25">
      <c r="A6" s="484">
        <v>1</v>
      </c>
      <c r="B6" s="485" t="s">
        <v>1440</v>
      </c>
      <c r="C6" s="544" t="s">
        <v>1503</v>
      </c>
      <c r="D6" s="545">
        <f>64000*C12</f>
        <v>5695744</v>
      </c>
      <c r="E6" s="486">
        <v>1</v>
      </c>
      <c r="F6" s="487">
        <f>D6*E6</f>
        <v>5695744</v>
      </c>
      <c r="G6" s="488">
        <v>1</v>
      </c>
      <c r="H6" s="487">
        <f>F6*G6</f>
        <v>5695744</v>
      </c>
      <c r="I6" s="489">
        <f>F6+(H6-F6)*(1-30/100)</f>
        <v>5695744</v>
      </c>
      <c r="J6" s="490" t="s">
        <v>1441</v>
      </c>
      <c r="K6" s="491"/>
      <c r="L6" s="492"/>
    </row>
    <row r="7" spans="1:17" x14ac:dyDescent="0.25">
      <c r="A7" s="484">
        <v>2</v>
      </c>
      <c r="B7" s="490" t="s">
        <v>1421</v>
      </c>
      <c r="C7" s="544"/>
      <c r="D7" s="546">
        <f>D6*2%</f>
        <v>113915</v>
      </c>
      <c r="E7" s="486"/>
      <c r="F7" s="487">
        <f>F6*2%</f>
        <v>113915</v>
      </c>
      <c r="G7" s="488"/>
      <c r="H7" s="487">
        <f>H6*2%</f>
        <v>113915</v>
      </c>
      <c r="I7" s="487">
        <f>I6*2%</f>
        <v>113915</v>
      </c>
      <c r="J7" s="490"/>
      <c r="K7" s="493"/>
      <c r="L7" s="492"/>
    </row>
    <row r="8" spans="1:17" x14ac:dyDescent="0.25">
      <c r="A8" s="484"/>
      <c r="B8" s="494" t="s">
        <v>1422</v>
      </c>
      <c r="C8" s="544"/>
      <c r="D8" s="546">
        <f>D6+D7</f>
        <v>5809659</v>
      </c>
      <c r="E8" s="487"/>
      <c r="F8" s="487">
        <f>F6+F7</f>
        <v>5809659</v>
      </c>
      <c r="G8" s="487"/>
      <c r="H8" s="487">
        <f>H6+H7</f>
        <v>5809659</v>
      </c>
      <c r="I8" s="487">
        <f>I6+I7</f>
        <v>5809659</v>
      </c>
      <c r="J8" s="495"/>
    </row>
    <row r="9" spans="1:17" x14ac:dyDescent="0.25">
      <c r="A9" s="484"/>
      <c r="B9" s="494" t="s">
        <v>1377</v>
      </c>
      <c r="C9" s="544"/>
      <c r="D9" s="547">
        <f>D8*0.2</f>
        <v>1161931.8</v>
      </c>
      <c r="E9" s="496"/>
      <c r="F9" s="496">
        <f>F8*0.2</f>
        <v>1161931.8</v>
      </c>
      <c r="G9" s="496"/>
      <c r="H9" s="496">
        <f>H8*0.2</f>
        <v>1161931.8</v>
      </c>
      <c r="I9" s="496">
        <f>I8*0.2</f>
        <v>1161931.8</v>
      </c>
      <c r="J9" s="497"/>
    </row>
    <row r="10" spans="1:17" x14ac:dyDescent="0.25">
      <c r="A10" s="484"/>
      <c r="B10" s="494" t="s">
        <v>1423</v>
      </c>
      <c r="C10" s="544"/>
      <c r="D10" s="547">
        <f>D8+D9</f>
        <v>6971590.7999999998</v>
      </c>
      <c r="E10" s="496"/>
      <c r="F10" s="496">
        <f>F8+F9</f>
        <v>6971590.7999999998</v>
      </c>
      <c r="G10" s="496"/>
      <c r="H10" s="496">
        <f>H8+H9</f>
        <v>6971590.7999999998</v>
      </c>
      <c r="I10" s="496">
        <f>I8+I9</f>
        <v>6971590.7999999998</v>
      </c>
      <c r="J10" s="497"/>
    </row>
    <row r="11" spans="1:17" x14ac:dyDescent="0.25">
      <c r="C11" s="548"/>
      <c r="D11" s="548"/>
      <c r="Q11" s="498"/>
    </row>
    <row r="12" spans="1:17" x14ac:dyDescent="0.25">
      <c r="A12" s="477" t="s">
        <v>1502</v>
      </c>
      <c r="C12" s="581">
        <v>88.995999999999995</v>
      </c>
      <c r="D12" s="548"/>
    </row>
    <row r="13" spans="1:17" ht="64.150000000000006" hidden="1" customHeight="1" x14ac:dyDescent="0.25">
      <c r="A13" s="633" t="s">
        <v>1424</v>
      </c>
      <c r="B13" s="633"/>
      <c r="C13" s="499" t="s">
        <v>1425</v>
      </c>
      <c r="D13" s="500">
        <f>K13*L13*M13*N13*O13</f>
        <v>1.139</v>
      </c>
      <c r="E13" s="501"/>
      <c r="F13" s="501"/>
      <c r="G13" s="501"/>
      <c r="H13" s="501"/>
      <c r="I13" s="501"/>
      <c r="J13" s="501"/>
      <c r="K13" s="501">
        <f>K14/100</f>
        <v>1.0311999999999999</v>
      </c>
      <c r="L13" s="501">
        <f t="shared" ref="L13:O13" si="0">L14/100</f>
        <v>1.0258</v>
      </c>
      <c r="M13" s="501">
        <f t="shared" si="0"/>
        <v>1.0358000000000001</v>
      </c>
      <c r="N13" s="501">
        <f t="shared" si="0"/>
        <v>1.0253000000000001</v>
      </c>
      <c r="O13" s="501">
        <f t="shared" si="0"/>
        <v>1.0141</v>
      </c>
    </row>
    <row r="14" spans="1:17" hidden="1" x14ac:dyDescent="0.25">
      <c r="A14" s="502" t="s">
        <v>1247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>
        <v>103.12</v>
      </c>
      <c r="L14" s="477">
        <v>102.58</v>
      </c>
      <c r="M14" s="477">
        <v>103.58</v>
      </c>
      <c r="N14" s="503">
        <v>102.53</v>
      </c>
      <c r="O14" s="503">
        <v>101.41</v>
      </c>
    </row>
    <row r="15" spans="1:17" ht="27" hidden="1" customHeight="1" x14ac:dyDescent="0.25">
      <c r="A15" s="634" t="s">
        <v>1426</v>
      </c>
      <c r="B15" s="634"/>
      <c r="C15" s="634"/>
      <c r="D15" s="634"/>
      <c r="E15" s="634"/>
      <c r="F15" s="634"/>
      <c r="G15" s="634"/>
      <c r="H15" s="634"/>
      <c r="I15" s="634"/>
      <c r="J15" s="634"/>
      <c r="K15" s="634"/>
    </row>
    <row r="16" spans="1:17" hidden="1" x14ac:dyDescent="0.25">
      <c r="A16" s="634"/>
      <c r="B16" s="634"/>
      <c r="C16" s="634"/>
      <c r="D16" s="634"/>
      <c r="E16" s="634"/>
      <c r="F16" s="634"/>
      <c r="G16" s="634"/>
      <c r="H16" s="634"/>
      <c r="I16" s="634"/>
      <c r="J16" s="634"/>
      <c r="K16" s="634"/>
    </row>
    <row r="17" spans="1:18" s="501" customFormat="1" ht="32.25" hidden="1" customHeight="1" x14ac:dyDescent="0.25">
      <c r="A17" s="636" t="s">
        <v>1427</v>
      </c>
      <c r="B17" s="636"/>
      <c r="C17" s="636"/>
      <c r="D17" s="502"/>
      <c r="E17" s="502"/>
      <c r="F17" s="502"/>
      <c r="G17" s="504"/>
      <c r="K17" s="505">
        <v>100.15</v>
      </c>
      <c r="L17" s="505">
        <v>101.67</v>
      </c>
      <c r="M17" s="506">
        <v>100</v>
      </c>
      <c r="N17" s="505">
        <v>100.26</v>
      </c>
      <c r="O17" s="505">
        <v>100.25</v>
      </c>
      <c r="P17" s="505">
        <v>99.91</v>
      </c>
      <c r="Q17" s="505"/>
      <c r="R17" s="505"/>
    </row>
    <row r="18" spans="1:18" s="501" customFormat="1" ht="30" hidden="1" x14ac:dyDescent="0.25">
      <c r="A18" s="507" t="s">
        <v>1382</v>
      </c>
      <c r="B18" s="507">
        <v>3</v>
      </c>
      <c r="C18" s="502" t="s">
        <v>1428</v>
      </c>
      <c r="D18" s="502"/>
      <c r="E18" s="502"/>
      <c r="F18" s="502"/>
      <c r="G18" s="504"/>
      <c r="K18" s="477">
        <f>K17/100</f>
        <v>1.0015000000000001</v>
      </c>
      <c r="L18" s="477">
        <f t="shared" ref="L18:P18" si="1">L17/100</f>
        <v>1.0166999999999999</v>
      </c>
      <c r="M18" s="477">
        <f t="shared" si="1"/>
        <v>1</v>
      </c>
      <c r="N18" s="477">
        <f t="shared" si="1"/>
        <v>1.0025999999999999</v>
      </c>
      <c r="O18" s="477">
        <f t="shared" si="1"/>
        <v>1.0024999999999999</v>
      </c>
      <c r="P18" s="477">
        <f t="shared" si="1"/>
        <v>0.99909999999999999</v>
      </c>
      <c r="Q18" s="477"/>
      <c r="R18" s="477"/>
    </row>
    <row r="19" spans="1:18" s="501" customFormat="1" hidden="1" x14ac:dyDescent="0.25">
      <c r="A19" s="502" t="s">
        <v>1380</v>
      </c>
      <c r="B19" s="508">
        <v>44348</v>
      </c>
      <c r="C19" s="502"/>
      <c r="D19" s="502"/>
      <c r="E19" s="502"/>
      <c r="F19" s="502"/>
      <c r="G19" s="504"/>
      <c r="K19" s="477" t="s">
        <v>1429</v>
      </c>
      <c r="L19" s="477" t="s">
        <v>1430</v>
      </c>
      <c r="M19" s="477" t="s">
        <v>1431</v>
      </c>
      <c r="N19" s="477" t="s">
        <v>1432</v>
      </c>
      <c r="O19" s="477" t="s">
        <v>1433</v>
      </c>
      <c r="P19" s="477"/>
      <c r="Q19" s="477"/>
      <c r="R19" s="477">
        <v>2020</v>
      </c>
    </row>
    <row r="20" spans="1:18" s="501" customFormat="1" hidden="1" x14ac:dyDescent="0.25">
      <c r="A20" s="502" t="s">
        <v>1381</v>
      </c>
      <c r="B20" s="509">
        <v>44440</v>
      </c>
      <c r="C20" s="502"/>
      <c r="D20" s="502"/>
      <c r="E20" s="502"/>
      <c r="F20" s="502"/>
      <c r="G20" s="504"/>
      <c r="K20" s="505">
        <v>102.52</v>
      </c>
      <c r="L20" s="505">
        <v>98.55</v>
      </c>
      <c r="M20" s="505">
        <v>99.67</v>
      </c>
      <c r="N20" s="505">
        <v>100.78</v>
      </c>
      <c r="O20" s="505">
        <v>101.01</v>
      </c>
      <c r="P20" s="477"/>
      <c r="Q20" s="477"/>
      <c r="R20" s="477"/>
    </row>
    <row r="21" spans="1:18" s="501" customFormat="1" hidden="1" x14ac:dyDescent="0.25">
      <c r="A21" s="502" t="s">
        <v>1253</v>
      </c>
      <c r="B21" s="502"/>
      <c r="C21" s="502"/>
      <c r="D21" s="502"/>
      <c r="E21" s="502"/>
      <c r="F21" s="502"/>
      <c r="G21" s="504"/>
      <c r="K21" s="477">
        <f>K20/100</f>
        <v>1.0251999999999999</v>
      </c>
      <c r="L21" s="477">
        <f t="shared" ref="L21:O21" si="2">L20/100</f>
        <v>0.98550000000000004</v>
      </c>
      <c r="M21" s="477">
        <f t="shared" si="2"/>
        <v>0.99670000000000003</v>
      </c>
      <c r="N21" s="477">
        <f t="shared" si="2"/>
        <v>1.0078</v>
      </c>
      <c r="O21" s="477">
        <f t="shared" si="2"/>
        <v>1.0101</v>
      </c>
      <c r="P21" s="477"/>
      <c r="Q21" s="477"/>
      <c r="R21" s="477"/>
    </row>
    <row r="22" spans="1:18" s="501" customFormat="1" ht="39.75" hidden="1" customHeight="1" x14ac:dyDescent="0.25">
      <c r="A22" s="637" t="s">
        <v>1434</v>
      </c>
      <c r="B22" s="637"/>
      <c r="C22" s="637"/>
      <c r="D22" s="637"/>
      <c r="E22" s="510">
        <v>1.036</v>
      </c>
      <c r="F22" s="502"/>
      <c r="G22" s="504"/>
    </row>
    <row r="23" spans="1:18" s="501" customFormat="1" ht="29.25" hidden="1" customHeight="1" x14ac:dyDescent="0.25">
      <c r="A23" s="511" t="s">
        <v>1435</v>
      </c>
      <c r="B23" s="512"/>
      <c r="C23" s="513"/>
      <c r="D23" s="514"/>
      <c r="E23" s="515">
        <f>1.036^(1/12)</f>
        <v>1.00295</v>
      </c>
      <c r="F23" s="502"/>
      <c r="G23" s="516"/>
    </row>
    <row r="24" spans="1:18" s="501" customFormat="1" ht="30.75" hidden="1" customHeight="1" x14ac:dyDescent="0.25">
      <c r="A24" s="637" t="s">
        <v>1436</v>
      </c>
      <c r="B24" s="637"/>
      <c r="C24" s="637"/>
      <c r="D24" s="637"/>
      <c r="E24" s="510">
        <v>1.0369999999999999</v>
      </c>
      <c r="F24" s="502"/>
      <c r="G24" s="504"/>
    </row>
    <row r="25" spans="1:18" s="501" customFormat="1" ht="29.25" hidden="1" customHeight="1" x14ac:dyDescent="0.25">
      <c r="A25" s="511" t="s">
        <v>1437</v>
      </c>
      <c r="B25" s="512"/>
      <c r="C25" s="513"/>
      <c r="D25" s="514"/>
      <c r="E25" s="515">
        <f>1.037^(1/12)</f>
        <v>1.0030300000000001</v>
      </c>
      <c r="F25" s="502"/>
      <c r="G25" s="516"/>
    </row>
    <row r="26" spans="1:18" s="501" customFormat="1" ht="46.5" hidden="1" customHeight="1" x14ac:dyDescent="0.25">
      <c r="A26" s="517" t="s">
        <v>1438</v>
      </c>
      <c r="B26" s="638" t="s">
        <v>1439</v>
      </c>
      <c r="C26" s="638"/>
      <c r="D26" s="638"/>
      <c r="E26" s="518">
        <f>1.00295^5*(1.00303^5+1.00303^8)/2</f>
        <v>1.0349999999999999</v>
      </c>
      <c r="F26" s="502"/>
      <c r="G26" s="518"/>
      <c r="K26" s="519"/>
      <c r="L26" s="519"/>
      <c r="M26" s="519"/>
      <c r="N26" s="519"/>
      <c r="O26" s="519"/>
      <c r="P26" s="519"/>
      <c r="Q26" s="520"/>
    </row>
    <row r="27" spans="1:18" hidden="1" x14ac:dyDescent="0.25">
      <c r="A27" s="502"/>
      <c r="B27" s="502"/>
      <c r="C27" s="502"/>
      <c r="D27" s="502"/>
      <c r="E27" s="502"/>
      <c r="F27" s="502"/>
      <c r="G27" s="502"/>
      <c r="H27" s="502"/>
      <c r="I27" s="502"/>
      <c r="J27" s="502"/>
      <c r="K27" s="502"/>
    </row>
  </sheetData>
  <mergeCells count="11">
    <mergeCell ref="A16:K16"/>
    <mergeCell ref="A17:C17"/>
    <mergeCell ref="A22:D22"/>
    <mergeCell ref="A24:D24"/>
    <mergeCell ref="B26:D26"/>
    <mergeCell ref="A1:J1"/>
    <mergeCell ref="A2:J2"/>
    <mergeCell ref="C4:D4"/>
    <mergeCell ref="A13:B13"/>
    <mergeCell ref="A15:K15"/>
    <mergeCell ref="A3:J3"/>
  </mergeCells>
  <pageMargins left="0.7" right="0.7" top="0.75" bottom="0.75" header="0.3" footer="0.3"/>
  <pageSetup paperSize="9" scale="6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view="pageBreakPreview" topLeftCell="A295" zoomScaleNormal="100" zoomScaleSheetLayoutView="100" workbookViewId="0">
      <pane xSplit="1" topLeftCell="B1" activePane="topRight" state="frozen"/>
      <selection activeCell="A12" sqref="A12"/>
      <selection pane="topRight" activeCell="A335" sqref="A335:C335"/>
    </sheetView>
  </sheetViews>
  <sheetFormatPr defaultRowHeight="12.75" outlineLevelRow="3" x14ac:dyDescent="0.2"/>
  <cols>
    <col min="1" max="1" width="11.28515625" style="98" bestFit="1" customWidth="1"/>
    <col min="2" max="2" width="21.85546875" customWidth="1"/>
    <col min="3" max="3" width="54.42578125" customWidth="1"/>
    <col min="4" max="4" width="19" customWidth="1"/>
    <col min="5" max="5" width="14.85546875" style="167" customWidth="1"/>
    <col min="6" max="6" width="18" style="167" customWidth="1"/>
    <col min="7" max="7" width="14.85546875" style="167" customWidth="1"/>
    <col min="8" max="8" width="19.7109375" customWidth="1"/>
    <col min="9" max="9" width="14.85546875" style="167" customWidth="1"/>
    <col min="10" max="11" width="19.7109375" customWidth="1"/>
    <col min="12" max="12" width="38.7109375" customWidth="1"/>
    <col min="13" max="13" width="15" customWidth="1"/>
    <col min="14" max="14" width="9.140625" customWidth="1"/>
    <col min="15" max="15" width="14" customWidth="1"/>
    <col min="16" max="16" width="14.85546875" customWidth="1"/>
    <col min="17" max="17" width="12.85546875" customWidth="1"/>
  </cols>
  <sheetData>
    <row r="1" spans="1:17" ht="29.25" customHeight="1" x14ac:dyDescent="0.2">
      <c r="A1" s="602" t="s">
        <v>1198</v>
      </c>
      <c r="B1" s="602"/>
      <c r="C1" s="602"/>
      <c r="D1" s="602"/>
      <c r="E1" s="602"/>
      <c r="F1" s="602"/>
      <c r="G1" s="602"/>
      <c r="H1" s="602"/>
      <c r="I1"/>
    </row>
    <row r="2" spans="1:17" ht="29.25" customHeight="1" x14ac:dyDescent="0.2">
      <c r="A2" s="172"/>
      <c r="B2" s="172"/>
      <c r="C2" s="172"/>
      <c r="D2" s="288"/>
      <c r="E2" s="172"/>
      <c r="F2" s="288"/>
      <c r="G2" s="172"/>
      <c r="H2" s="172"/>
      <c r="I2" s="215"/>
      <c r="J2" s="215"/>
      <c r="K2" s="215"/>
    </row>
    <row r="3" spans="1:17" ht="29.25" customHeight="1" x14ac:dyDescent="0.2">
      <c r="A3" s="289" t="s">
        <v>1199</v>
      </c>
      <c r="B3" s="603" t="s">
        <v>302</v>
      </c>
      <c r="C3" s="623"/>
      <c r="D3" s="623"/>
      <c r="E3" s="623"/>
      <c r="F3" s="623"/>
      <c r="G3" s="623"/>
      <c r="H3" s="623"/>
      <c r="I3"/>
    </row>
    <row r="4" spans="1:17" ht="29.25" customHeight="1" x14ac:dyDescent="0.25">
      <c r="A4" s="290" t="s">
        <v>1200</v>
      </c>
      <c r="B4" s="290" t="s">
        <v>1272</v>
      </c>
      <c r="C4" s="290"/>
      <c r="D4" s="291"/>
      <c r="E4" s="290"/>
      <c r="F4" s="291"/>
      <c r="G4" s="290"/>
      <c r="H4" s="292"/>
      <c r="I4" s="290"/>
      <c r="J4" s="292"/>
      <c r="K4" s="292"/>
    </row>
    <row r="5" spans="1:17" ht="29.25" customHeight="1" x14ac:dyDescent="0.25">
      <c r="A5" s="293" t="s">
        <v>1201</v>
      </c>
      <c r="B5" s="147"/>
      <c r="C5" s="147"/>
      <c r="D5" s="148"/>
      <c r="E5" s="147"/>
      <c r="F5" s="148"/>
      <c r="G5" s="147"/>
      <c r="H5" s="292"/>
      <c r="I5" s="147"/>
      <c r="J5" s="292"/>
      <c r="K5" s="292"/>
    </row>
    <row r="6" spans="1:17" ht="29.25" customHeight="1" x14ac:dyDescent="0.2">
      <c r="A6" s="582" t="s">
        <v>1504</v>
      </c>
      <c r="B6" s="582"/>
      <c r="C6" s="294"/>
      <c r="D6" s="294"/>
      <c r="E6" s="294"/>
      <c r="F6" s="294"/>
      <c r="G6" s="294"/>
      <c r="H6" s="294"/>
      <c r="I6" s="294"/>
      <c r="J6" s="294"/>
      <c r="K6" s="294"/>
    </row>
    <row r="7" spans="1:17" ht="29.25" customHeight="1" x14ac:dyDescent="0.2">
      <c r="A7" s="606" t="s">
        <v>1273</v>
      </c>
      <c r="B7" s="606"/>
      <c r="C7" s="606"/>
      <c r="D7" s="606"/>
      <c r="E7" s="606"/>
      <c r="F7" s="606"/>
      <c r="G7" s="606"/>
      <c r="H7" s="606"/>
      <c r="I7"/>
    </row>
    <row r="8" spans="1:17" ht="29.25" customHeight="1" x14ac:dyDescent="0.2">
      <c r="A8" s="606" t="s">
        <v>1271</v>
      </c>
      <c r="B8" s="606"/>
      <c r="C8" s="606"/>
      <c r="D8" s="606"/>
      <c r="E8" s="606"/>
      <c r="F8" s="606"/>
      <c r="G8" s="606"/>
      <c r="H8" s="606"/>
      <c r="I8"/>
    </row>
    <row r="9" spans="1:17" ht="29.25" customHeight="1" x14ac:dyDescent="0.25">
      <c r="A9" s="147"/>
      <c r="B9" s="147"/>
      <c r="C9" s="147"/>
      <c r="D9" s="148"/>
      <c r="E9" s="147"/>
      <c r="G9" s="147"/>
      <c r="I9" s="147"/>
      <c r="K9" t="s">
        <v>1203</v>
      </c>
    </row>
    <row r="10" spans="1:17" ht="184.9" customHeight="1" x14ac:dyDescent="0.2">
      <c r="A10" s="149" t="s">
        <v>1</v>
      </c>
      <c r="B10" s="149" t="s">
        <v>245</v>
      </c>
      <c r="C10" s="150" t="s">
        <v>246</v>
      </c>
      <c r="D10" s="150" t="s">
        <v>247</v>
      </c>
      <c r="E10" s="150" t="s">
        <v>248</v>
      </c>
      <c r="F10" s="150" t="s">
        <v>1204</v>
      </c>
      <c r="G10" s="150" t="s">
        <v>1205</v>
      </c>
      <c r="H10" s="150" t="s">
        <v>1445</v>
      </c>
      <c r="I10" s="150" t="s">
        <v>1206</v>
      </c>
      <c r="J10" s="150" t="s">
        <v>1207</v>
      </c>
      <c r="K10" s="150" t="s">
        <v>1208</v>
      </c>
      <c r="L10" s="150" t="s">
        <v>681</v>
      </c>
      <c r="M10" s="150" t="s">
        <v>728</v>
      </c>
      <c r="N10" s="150" t="s">
        <v>732</v>
      </c>
      <c r="O10" s="218" t="s">
        <v>963</v>
      </c>
      <c r="P10" s="218" t="s">
        <v>964</v>
      </c>
      <c r="Q10" s="218" t="s">
        <v>965</v>
      </c>
    </row>
    <row r="11" spans="1:17" ht="15.75" x14ac:dyDescent="0.2">
      <c r="A11" s="149">
        <v>1</v>
      </c>
      <c r="B11" s="149">
        <v>2</v>
      </c>
      <c r="C11" s="149">
        <v>3</v>
      </c>
      <c r="D11" s="151">
        <v>4</v>
      </c>
      <c r="E11" s="151">
        <v>5</v>
      </c>
      <c r="F11" s="151">
        <v>6</v>
      </c>
      <c r="G11" s="151">
        <v>7</v>
      </c>
      <c r="H11" s="151">
        <v>8</v>
      </c>
      <c r="I11" s="151">
        <v>9</v>
      </c>
      <c r="J11" s="151">
        <v>10</v>
      </c>
      <c r="K11" s="151">
        <v>11</v>
      </c>
      <c r="L11" s="150"/>
      <c r="M11" s="150"/>
      <c r="N11" s="150"/>
      <c r="O11" s="295"/>
      <c r="P11" s="295"/>
      <c r="Q11" s="295"/>
    </row>
    <row r="12" spans="1:17" s="369" customFormat="1" ht="22.15" customHeight="1" x14ac:dyDescent="0.2">
      <c r="A12" s="152">
        <v>1</v>
      </c>
      <c r="B12" s="152"/>
      <c r="C12" s="153" t="s">
        <v>249</v>
      </c>
      <c r="D12" s="297" t="s">
        <v>250</v>
      </c>
      <c r="E12" s="364">
        <v>1</v>
      </c>
      <c r="F12" s="364">
        <f>F13+F14</f>
        <v>2073377</v>
      </c>
      <c r="G12" s="365">
        <f>$G$335</f>
        <v>1.1279999999999999</v>
      </c>
      <c r="H12" s="366">
        <f>H13+H14</f>
        <v>2338770</v>
      </c>
      <c r="I12" s="365">
        <f>Дефляторы!$D$21</f>
        <v>1.016</v>
      </c>
      <c r="J12" s="366">
        <f>J13+J14</f>
        <v>2376191</v>
      </c>
      <c r="K12" s="366">
        <f>K13+K14</f>
        <v>2364965</v>
      </c>
      <c r="L12" s="367"/>
      <c r="M12" s="367"/>
      <c r="N12" s="367"/>
      <c r="O12" s="368">
        <v>44166</v>
      </c>
      <c r="P12" s="368">
        <v>44256</v>
      </c>
      <c r="Q12" s="369">
        <f>P12-O12</f>
        <v>90</v>
      </c>
    </row>
    <row r="13" spans="1:17" s="362" customFormat="1" ht="34.5" customHeight="1" outlineLevel="1" x14ac:dyDescent="0.2">
      <c r="A13" s="282" t="s">
        <v>251</v>
      </c>
      <c r="B13" s="282" t="s">
        <v>66</v>
      </c>
      <c r="C13" s="415" t="s">
        <v>252</v>
      </c>
      <c r="D13" s="359" t="s">
        <v>250</v>
      </c>
      <c r="E13" s="154">
        <v>1</v>
      </c>
      <c r="F13" s="154">
        <f>'Затраты подрядчика'!L103</f>
        <v>2032723</v>
      </c>
      <c r="G13" s="296">
        <f>$G$335</f>
        <v>1.1279999999999999</v>
      </c>
      <c r="H13" s="337">
        <f>F13*G13</f>
        <v>2292912</v>
      </c>
      <c r="I13" s="296">
        <f>Дефляторы!$D$21</f>
        <v>1.016</v>
      </c>
      <c r="J13" s="337">
        <f>H13*I13</f>
        <v>2329599</v>
      </c>
      <c r="K13" s="337">
        <f>H13+(J13-H13)*(1-30/100)</f>
        <v>2318593</v>
      </c>
      <c r="L13" s="360"/>
      <c r="M13" s="360"/>
      <c r="N13" s="360"/>
    </row>
    <row r="14" spans="1:17" s="362" customFormat="1" ht="15.75" outlineLevel="1" x14ac:dyDescent="0.2">
      <c r="A14" s="282" t="s">
        <v>961</v>
      </c>
      <c r="B14" s="283"/>
      <c r="C14" s="283" t="s">
        <v>1209</v>
      </c>
      <c r="D14" s="405" t="s">
        <v>250</v>
      </c>
      <c r="E14" s="154">
        <v>1</v>
      </c>
      <c r="F14" s="416">
        <f>F13*2%</f>
        <v>40654</v>
      </c>
      <c r="G14" s="296">
        <f>$G$335</f>
        <v>1.1279999999999999</v>
      </c>
      <c r="H14" s="337">
        <f>F14*G14</f>
        <v>45858</v>
      </c>
      <c r="I14" s="296">
        <f>Дефляторы!$D$21</f>
        <v>1.016</v>
      </c>
      <c r="J14" s="337">
        <f>H14*I14</f>
        <v>46592</v>
      </c>
      <c r="K14" s="337">
        <f>H14+(J14-H14)*(1-30/100)</f>
        <v>46372</v>
      </c>
      <c r="L14" s="360"/>
      <c r="M14" s="360"/>
      <c r="N14" s="360"/>
    </row>
    <row r="15" spans="1:17" s="369" customFormat="1" ht="32.450000000000003" customHeight="1" x14ac:dyDescent="0.2">
      <c r="A15" s="159" t="s">
        <v>253</v>
      </c>
      <c r="B15" s="159"/>
      <c r="C15" s="153" t="s">
        <v>254</v>
      </c>
      <c r="D15" s="297" t="s">
        <v>250</v>
      </c>
      <c r="E15" s="364">
        <v>1</v>
      </c>
      <c r="F15" s="364">
        <f>(F16+F37+F54+F70+F86+F115+F147+F148+F231+F255+F270+F271+F295+F298+F299+F300+F301+F304+F305+F308+F309+F310)</f>
        <v>98144859</v>
      </c>
      <c r="G15" s="365"/>
      <c r="H15" s="364">
        <f>(H16+H37+H54+H70+H86+H115+H147+H148+H231+H255+H270+H271+H295+H298+H299+H300+H301+H304+H305+H308+H309+H310)</f>
        <v>109993007</v>
      </c>
      <c r="I15" s="365"/>
      <c r="J15" s="364">
        <f>(J16+J37+J54+J70+J86+J115+J147+J148+J231+J255+J270+J271+J295+J298+J299+J300+J301+J304+J305+J308+J309+J310)</f>
        <v>115318002</v>
      </c>
      <c r="K15" s="364">
        <f>(K16+K37+K54+K70+K86+K115+K147+K148+K231+K255+K270+K271+K295+K298+K299+K300+K301+K304+K305+K308+K309+K310)</f>
        <v>113720518</v>
      </c>
      <c r="L15" s="367"/>
      <c r="M15" s="367"/>
      <c r="N15" s="367"/>
    </row>
    <row r="16" spans="1:17" s="362" customFormat="1" ht="15.75" customHeight="1" outlineLevel="1" x14ac:dyDescent="0.2">
      <c r="A16" s="363" t="s">
        <v>255</v>
      </c>
      <c r="B16" s="363"/>
      <c r="C16" s="358" t="s">
        <v>966</v>
      </c>
      <c r="D16" s="359" t="s">
        <v>250</v>
      </c>
      <c r="E16" s="154">
        <v>1</v>
      </c>
      <c r="F16" s="154">
        <f>F17+F18</f>
        <v>2566181</v>
      </c>
      <c r="G16" s="296">
        <f t="shared" ref="G16:G22" si="0">$G$335</f>
        <v>1.1279999999999999</v>
      </c>
      <c r="H16" s="337">
        <f>H17+H18</f>
        <v>2894652</v>
      </c>
      <c r="I16" s="296">
        <f>Дефляторы!$D$27</f>
        <v>1.0509999999999999</v>
      </c>
      <c r="J16" s="337">
        <f>J17+J18</f>
        <v>3042279</v>
      </c>
      <c r="K16" s="337">
        <f>K17+K18</f>
        <v>2997993</v>
      </c>
      <c r="L16" s="360"/>
      <c r="M16" s="360"/>
      <c r="N16" s="360"/>
      <c r="O16" s="361">
        <v>44287</v>
      </c>
      <c r="P16" s="361">
        <v>44348</v>
      </c>
      <c r="Q16" s="362">
        <f>P16-O16</f>
        <v>61</v>
      </c>
    </row>
    <row r="17" spans="1:14" s="373" customFormat="1" ht="33.75" hidden="1" customHeight="1" outlineLevel="2" x14ac:dyDescent="0.2">
      <c r="A17" s="208" t="s">
        <v>256</v>
      </c>
      <c r="B17" s="100" t="s">
        <v>20</v>
      </c>
      <c r="C17" s="384" t="s">
        <v>21</v>
      </c>
      <c r="D17" s="317" t="s">
        <v>262</v>
      </c>
      <c r="E17" s="385">
        <f>1483.2</f>
        <v>1483.2</v>
      </c>
      <c r="F17" s="386">
        <f>'Затраты подрядчика'!I30</f>
        <v>34881</v>
      </c>
      <c r="G17" s="299">
        <f t="shared" si="0"/>
        <v>1.1279999999999999</v>
      </c>
      <c r="H17" s="339">
        <f>F17*G17</f>
        <v>39346</v>
      </c>
      <c r="I17" s="299">
        <f>Дефляторы!$D$27</f>
        <v>1.0509999999999999</v>
      </c>
      <c r="J17" s="339">
        <f t="shared" ref="J17:J19" si="1">H17*I17</f>
        <v>41353</v>
      </c>
      <c r="K17" s="339">
        <f>H17+(J17-H17)*(1-30/100)</f>
        <v>40751</v>
      </c>
      <c r="L17" s="372"/>
      <c r="M17" s="372"/>
      <c r="N17" s="372"/>
    </row>
    <row r="18" spans="1:14" s="373" customFormat="1" ht="15.75" hidden="1" outlineLevel="2" x14ac:dyDescent="0.2">
      <c r="A18" s="208" t="s">
        <v>257</v>
      </c>
      <c r="B18" s="100" t="s">
        <v>103</v>
      </c>
      <c r="C18" s="100" t="s">
        <v>104</v>
      </c>
      <c r="D18" s="157" t="s">
        <v>250</v>
      </c>
      <c r="E18" s="277">
        <v>1</v>
      </c>
      <c r="F18" s="277">
        <f>SUM(F19:F36)</f>
        <v>2531300</v>
      </c>
      <c r="G18" s="299">
        <f t="shared" si="0"/>
        <v>1.1279999999999999</v>
      </c>
      <c r="H18" s="339">
        <f>SUM(H19:H36)</f>
        <v>2855306</v>
      </c>
      <c r="I18" s="299">
        <f>Дефляторы!$D$27</f>
        <v>1.0509999999999999</v>
      </c>
      <c r="J18" s="339">
        <f>SUM(J19:J36)</f>
        <v>3000926</v>
      </c>
      <c r="K18" s="339">
        <f>SUM(K19:K36)</f>
        <v>2957242</v>
      </c>
      <c r="L18" s="372"/>
      <c r="M18" s="372"/>
      <c r="N18" s="372"/>
    </row>
    <row r="19" spans="1:14" s="390" customFormat="1" ht="38.25" hidden="1" outlineLevel="3" x14ac:dyDescent="0.2">
      <c r="A19" s="191" t="s">
        <v>1210</v>
      </c>
      <c r="B19" s="132" t="s">
        <v>682</v>
      </c>
      <c r="C19" s="132" t="s">
        <v>706</v>
      </c>
      <c r="D19" s="315" t="s">
        <v>262</v>
      </c>
      <c r="E19" s="233">
        <v>618</v>
      </c>
      <c r="F19" s="233">
        <f>(6133+5563)*1.005*6.99</f>
        <v>82164</v>
      </c>
      <c r="G19" s="387">
        <f t="shared" si="0"/>
        <v>1.1279999999999999</v>
      </c>
      <c r="H19" s="388">
        <f>F19*G19</f>
        <v>92681</v>
      </c>
      <c r="I19" s="387">
        <f>Дефляторы!$D$27</f>
        <v>1.0509999999999999</v>
      </c>
      <c r="J19" s="388">
        <f t="shared" si="1"/>
        <v>97408</v>
      </c>
      <c r="K19" s="388">
        <f>H19+(J19-H19)*(1-30/100)</f>
        <v>95990</v>
      </c>
      <c r="L19" s="389" t="s">
        <v>684</v>
      </c>
      <c r="M19" s="194"/>
      <c r="N19" s="194"/>
    </row>
    <row r="20" spans="1:14" s="390" customFormat="1" ht="51" hidden="1" outlineLevel="3" x14ac:dyDescent="0.2">
      <c r="A20" s="191" t="s">
        <v>1211</v>
      </c>
      <c r="B20" s="132" t="s">
        <v>683</v>
      </c>
      <c r="C20" s="132" t="s">
        <v>704</v>
      </c>
      <c r="D20" s="315" t="s">
        <v>271</v>
      </c>
      <c r="E20" s="233">
        <v>2060</v>
      </c>
      <c r="F20" s="233">
        <f>722*1.005*6.99</f>
        <v>5072</v>
      </c>
      <c r="G20" s="387">
        <f t="shared" si="0"/>
        <v>1.1279999999999999</v>
      </c>
      <c r="H20" s="388">
        <f t="shared" ref="H20:H22" si="2">F20*G20</f>
        <v>5721</v>
      </c>
      <c r="I20" s="387">
        <f>Дефляторы!$D$27</f>
        <v>1.0509999999999999</v>
      </c>
      <c r="J20" s="388">
        <f t="shared" ref="J20:J28" si="3">H20*I20</f>
        <v>6013</v>
      </c>
      <c r="K20" s="388">
        <f t="shared" ref="K20:K28" si="4">H20+(J20-H20)*(1-30/100)</f>
        <v>5925</v>
      </c>
      <c r="L20" s="389" t="s">
        <v>1384</v>
      </c>
      <c r="M20" s="194"/>
      <c r="N20" s="194"/>
    </row>
    <row r="21" spans="1:14" s="390" customFormat="1" ht="38.25" hidden="1" outlineLevel="3" x14ac:dyDescent="0.2">
      <c r="A21" s="191" t="s">
        <v>1212</v>
      </c>
      <c r="B21" s="132" t="s">
        <v>685</v>
      </c>
      <c r="C21" s="132" t="s">
        <v>707</v>
      </c>
      <c r="D21" s="315" t="s">
        <v>262</v>
      </c>
      <c r="E21" s="233">
        <v>618</v>
      </c>
      <c r="F21" s="233">
        <f>(7275+4308)*1.005*6.99</f>
        <v>81370</v>
      </c>
      <c r="G21" s="387">
        <f t="shared" si="0"/>
        <v>1.1279999999999999</v>
      </c>
      <c r="H21" s="388">
        <f t="shared" si="2"/>
        <v>91785</v>
      </c>
      <c r="I21" s="387">
        <f>Дефляторы!$D$27</f>
        <v>1.0509999999999999</v>
      </c>
      <c r="J21" s="388">
        <f t="shared" si="3"/>
        <v>96466</v>
      </c>
      <c r="K21" s="388">
        <f t="shared" si="4"/>
        <v>95062</v>
      </c>
      <c r="L21" s="389" t="s">
        <v>708</v>
      </c>
      <c r="M21" s="194"/>
      <c r="N21" s="194"/>
    </row>
    <row r="22" spans="1:14" s="390" customFormat="1" ht="127.5" hidden="1" outlineLevel="3" x14ac:dyDescent="0.2">
      <c r="A22" s="191" t="s">
        <v>1213</v>
      </c>
      <c r="B22" s="132" t="s">
        <v>686</v>
      </c>
      <c r="C22" s="132" t="s">
        <v>688</v>
      </c>
      <c r="D22" s="315" t="s">
        <v>363</v>
      </c>
      <c r="E22" s="233">
        <v>1508</v>
      </c>
      <c r="F22" s="233">
        <f>(168833+104655+32942+26346)*1.005*6.99-1</f>
        <v>2337734</v>
      </c>
      <c r="G22" s="387">
        <f t="shared" si="0"/>
        <v>1.1279999999999999</v>
      </c>
      <c r="H22" s="388">
        <f t="shared" si="2"/>
        <v>2636964</v>
      </c>
      <c r="I22" s="387">
        <f>Дефляторы!$D$27</f>
        <v>1.0509999999999999</v>
      </c>
      <c r="J22" s="388">
        <f t="shared" si="3"/>
        <v>2771449</v>
      </c>
      <c r="K22" s="388">
        <f t="shared" si="4"/>
        <v>2731104</v>
      </c>
      <c r="L22" s="389" t="s">
        <v>687</v>
      </c>
      <c r="M22" s="194"/>
      <c r="N22" s="194"/>
    </row>
    <row r="23" spans="1:14" s="390" customFormat="1" ht="15.75" hidden="1" outlineLevel="3" x14ac:dyDescent="0.2">
      <c r="A23" s="191"/>
      <c r="B23" s="132"/>
      <c r="C23" s="132" t="s">
        <v>689</v>
      </c>
      <c r="D23" s="315"/>
      <c r="E23" s="233"/>
      <c r="F23" s="233"/>
      <c r="G23" s="387"/>
      <c r="H23" s="391"/>
      <c r="I23" s="387">
        <f>Дефляторы!$D$27</f>
        <v>1.0509999999999999</v>
      </c>
      <c r="J23" s="391">
        <f t="shared" si="3"/>
        <v>0</v>
      </c>
      <c r="K23" s="391">
        <f t="shared" si="4"/>
        <v>0</v>
      </c>
      <c r="L23" s="194"/>
      <c r="M23" s="194"/>
      <c r="N23" s="194"/>
    </row>
    <row r="24" spans="1:14" s="390" customFormat="1" ht="15.75" hidden="1" outlineLevel="3" x14ac:dyDescent="0.2">
      <c r="A24" s="191" t="s">
        <v>1214</v>
      </c>
      <c r="B24" s="132" t="s">
        <v>690</v>
      </c>
      <c r="C24" s="132" t="s">
        <v>696</v>
      </c>
      <c r="D24" s="315" t="s">
        <v>271</v>
      </c>
      <c r="E24" s="233">
        <v>600</v>
      </c>
      <c r="F24" s="233">
        <f>919*1.005*6.99</f>
        <v>6456</v>
      </c>
      <c r="G24" s="387">
        <f>$G$335</f>
        <v>1.1279999999999999</v>
      </c>
      <c r="H24" s="388">
        <f t="shared" ref="H24" si="5">F24*G24</f>
        <v>7282</v>
      </c>
      <c r="I24" s="387">
        <f>Дефляторы!$D$27</f>
        <v>1.0509999999999999</v>
      </c>
      <c r="J24" s="388">
        <f t="shared" si="3"/>
        <v>7653</v>
      </c>
      <c r="K24" s="388">
        <f t="shared" si="4"/>
        <v>7542</v>
      </c>
      <c r="L24" s="194"/>
      <c r="M24" s="194"/>
      <c r="N24" s="194"/>
    </row>
    <row r="25" spans="1:14" s="390" customFormat="1" ht="15.75" hidden="1" outlineLevel="3" x14ac:dyDescent="0.2">
      <c r="A25" s="191"/>
      <c r="B25" s="132"/>
      <c r="C25" s="132" t="s">
        <v>691</v>
      </c>
      <c r="D25" s="315"/>
      <c r="E25" s="233"/>
      <c r="F25" s="233"/>
      <c r="G25" s="387"/>
      <c r="H25" s="388"/>
      <c r="I25" s="387">
        <f>Дефляторы!$D$27</f>
        <v>1.0509999999999999</v>
      </c>
      <c r="J25" s="388">
        <f t="shared" si="3"/>
        <v>0</v>
      </c>
      <c r="K25" s="388">
        <f t="shared" si="4"/>
        <v>0</v>
      </c>
      <c r="L25" s="194"/>
      <c r="M25" s="194"/>
      <c r="N25" s="194"/>
    </row>
    <row r="26" spans="1:14" s="390" customFormat="1" ht="15.75" hidden="1" outlineLevel="3" x14ac:dyDescent="0.2">
      <c r="A26" s="191" t="s">
        <v>1215</v>
      </c>
      <c r="B26" s="132" t="s">
        <v>692</v>
      </c>
      <c r="C26" s="132" t="s">
        <v>696</v>
      </c>
      <c r="D26" s="315" t="s">
        <v>271</v>
      </c>
      <c r="E26" s="233">
        <v>450</v>
      </c>
      <c r="F26" s="233">
        <f>689*1.005*6.99</f>
        <v>4840</v>
      </c>
      <c r="G26" s="387">
        <f>$G$335</f>
        <v>1.1279999999999999</v>
      </c>
      <c r="H26" s="388">
        <f t="shared" ref="H26" si="6">F26*G26</f>
        <v>5460</v>
      </c>
      <c r="I26" s="387">
        <f>Дефляторы!$D$27</f>
        <v>1.0509999999999999</v>
      </c>
      <c r="J26" s="388">
        <f t="shared" si="3"/>
        <v>5738</v>
      </c>
      <c r="K26" s="388">
        <f t="shared" si="4"/>
        <v>5655</v>
      </c>
      <c r="L26" s="194"/>
      <c r="M26" s="194"/>
      <c r="N26" s="194"/>
    </row>
    <row r="27" spans="1:14" s="390" customFormat="1" ht="15.75" hidden="1" outlineLevel="3" x14ac:dyDescent="0.2">
      <c r="A27" s="191"/>
      <c r="B27" s="132"/>
      <c r="C27" s="132" t="s">
        <v>693</v>
      </c>
      <c r="D27" s="315"/>
      <c r="E27" s="233"/>
      <c r="F27" s="233"/>
      <c r="G27" s="387"/>
      <c r="H27" s="388"/>
      <c r="I27" s="387">
        <f>Дефляторы!$D$27</f>
        <v>1.0509999999999999</v>
      </c>
      <c r="J27" s="388">
        <f t="shared" si="3"/>
        <v>0</v>
      </c>
      <c r="K27" s="388">
        <f t="shared" si="4"/>
        <v>0</v>
      </c>
      <c r="L27" s="194"/>
      <c r="M27" s="194"/>
      <c r="N27" s="194"/>
    </row>
    <row r="28" spans="1:14" s="390" customFormat="1" ht="15.75" hidden="1" outlineLevel="3" x14ac:dyDescent="0.2">
      <c r="A28" s="191" t="s">
        <v>1216</v>
      </c>
      <c r="B28" s="132" t="s">
        <v>694</v>
      </c>
      <c r="C28" s="132" t="s">
        <v>696</v>
      </c>
      <c r="D28" s="315" t="s">
        <v>271</v>
      </c>
      <c r="E28" s="233">
        <v>450</v>
      </c>
      <c r="F28" s="233">
        <f>689*1.005*6.99</f>
        <v>4840</v>
      </c>
      <c r="G28" s="387">
        <f>$G$335</f>
        <v>1.1279999999999999</v>
      </c>
      <c r="H28" s="388">
        <f t="shared" ref="H28" si="7">F28*G28</f>
        <v>5460</v>
      </c>
      <c r="I28" s="387">
        <f>Дефляторы!$D$27</f>
        <v>1.0509999999999999</v>
      </c>
      <c r="J28" s="388">
        <f t="shared" si="3"/>
        <v>5738</v>
      </c>
      <c r="K28" s="388">
        <f t="shared" si="4"/>
        <v>5655</v>
      </c>
      <c r="L28" s="194"/>
      <c r="M28" s="194"/>
      <c r="N28" s="194"/>
    </row>
    <row r="29" spans="1:14" s="390" customFormat="1" ht="15.75" hidden="1" outlineLevel="3" x14ac:dyDescent="0.2">
      <c r="A29" s="191"/>
      <c r="B29" s="132"/>
      <c r="C29" s="132" t="s">
        <v>695</v>
      </c>
      <c r="D29" s="315"/>
      <c r="E29" s="233"/>
      <c r="F29" s="233"/>
      <c r="G29" s="387"/>
      <c r="H29" s="388"/>
      <c r="I29" s="387">
        <f>Дефляторы!$D$27</f>
        <v>1.0509999999999999</v>
      </c>
      <c r="J29" s="388">
        <f>H29*I29</f>
        <v>0</v>
      </c>
      <c r="K29" s="388">
        <f>H29+(J29-H29)*(1-30/100)</f>
        <v>0</v>
      </c>
      <c r="L29" s="194"/>
      <c r="M29" s="194"/>
      <c r="N29" s="194"/>
    </row>
    <row r="30" spans="1:14" s="390" customFormat="1" ht="15.75" hidden="1" outlineLevel="3" x14ac:dyDescent="0.2">
      <c r="A30" s="191" t="s">
        <v>1217</v>
      </c>
      <c r="B30" s="132" t="s">
        <v>697</v>
      </c>
      <c r="C30" s="132" t="s">
        <v>696</v>
      </c>
      <c r="D30" s="315" t="s">
        <v>271</v>
      </c>
      <c r="E30" s="233">
        <v>200</v>
      </c>
      <c r="F30" s="233">
        <f>307*1.005*6.99</f>
        <v>2157</v>
      </c>
      <c r="G30" s="387">
        <f>$G$335</f>
        <v>1.1279999999999999</v>
      </c>
      <c r="H30" s="388">
        <f t="shared" ref="H30" si="8">F30*G30</f>
        <v>2433</v>
      </c>
      <c r="I30" s="387">
        <f>Дефляторы!$D$27</f>
        <v>1.0509999999999999</v>
      </c>
      <c r="J30" s="388">
        <f>H30*I30</f>
        <v>2557</v>
      </c>
      <c r="K30" s="388">
        <f>H30+(J30-H30)*(1-30/100)</f>
        <v>2520</v>
      </c>
      <c r="L30" s="194"/>
      <c r="M30" s="194"/>
      <c r="N30" s="194"/>
    </row>
    <row r="31" spans="1:14" s="390" customFormat="1" ht="15.75" hidden="1" outlineLevel="3" x14ac:dyDescent="0.2">
      <c r="A31" s="191"/>
      <c r="B31" s="132"/>
      <c r="C31" s="132" t="s">
        <v>698</v>
      </c>
      <c r="D31" s="315"/>
      <c r="E31" s="233"/>
      <c r="F31" s="194"/>
      <c r="G31" s="387"/>
      <c r="H31" s="388"/>
      <c r="I31" s="387">
        <f>Дефляторы!$D$27</f>
        <v>1.0509999999999999</v>
      </c>
      <c r="J31" s="388">
        <f t="shared" ref="J31:J36" si="9">H31*I31</f>
        <v>0</v>
      </c>
      <c r="K31" s="388">
        <f>H31+(J31-H31)*(1-30/100)</f>
        <v>0</v>
      </c>
      <c r="L31" s="194"/>
      <c r="M31" s="194"/>
      <c r="N31" s="194"/>
    </row>
    <row r="32" spans="1:14" s="390" customFormat="1" ht="15.75" hidden="1" outlineLevel="3" x14ac:dyDescent="0.2">
      <c r="A32" s="191" t="s">
        <v>1218</v>
      </c>
      <c r="B32" s="132" t="s">
        <v>699</v>
      </c>
      <c r="C32" s="132" t="s">
        <v>696</v>
      </c>
      <c r="D32" s="315" t="s">
        <v>271</v>
      </c>
      <c r="E32" s="233">
        <v>200</v>
      </c>
      <c r="F32" s="233">
        <f>307*1.005*6.99</f>
        <v>2157</v>
      </c>
      <c r="G32" s="387">
        <f>$G$335</f>
        <v>1.1279999999999999</v>
      </c>
      <c r="H32" s="388">
        <f t="shared" ref="H32" si="10">F32*G32</f>
        <v>2433</v>
      </c>
      <c r="I32" s="387">
        <f>Дефляторы!$D$27</f>
        <v>1.0509999999999999</v>
      </c>
      <c r="J32" s="388">
        <f t="shared" si="9"/>
        <v>2557</v>
      </c>
      <c r="K32" s="388">
        <f>H32+(J32-H32)*(1-30/100)</f>
        <v>2520</v>
      </c>
      <c r="L32" s="194"/>
      <c r="M32" s="194"/>
      <c r="N32" s="194"/>
    </row>
    <row r="33" spans="1:14" s="390" customFormat="1" ht="15.75" hidden="1" outlineLevel="3" x14ac:dyDescent="0.2">
      <c r="A33" s="191"/>
      <c r="B33" s="132"/>
      <c r="C33" s="132" t="s">
        <v>700</v>
      </c>
      <c r="D33" s="315"/>
      <c r="E33" s="233"/>
      <c r="F33" s="233"/>
      <c r="G33" s="194"/>
      <c r="H33" s="392"/>
      <c r="I33" s="194">
        <f>Дефляторы!$D$27</f>
        <v>1.0509999999999999</v>
      </c>
      <c r="J33" s="392">
        <f t="shared" si="9"/>
        <v>0</v>
      </c>
      <c r="K33" s="392"/>
      <c r="L33" s="194"/>
      <c r="M33" s="194"/>
      <c r="N33" s="194"/>
    </row>
    <row r="34" spans="1:14" s="390" customFormat="1" ht="15.75" hidden="1" outlineLevel="3" x14ac:dyDescent="0.2">
      <c r="A34" s="191" t="s">
        <v>1219</v>
      </c>
      <c r="B34" s="132" t="s">
        <v>701</v>
      </c>
      <c r="C34" s="132" t="s">
        <v>696</v>
      </c>
      <c r="D34" s="315" t="s">
        <v>271</v>
      </c>
      <c r="E34" s="233">
        <v>245</v>
      </c>
      <c r="F34" s="233">
        <f>375*1.005*6.99</f>
        <v>2634</v>
      </c>
      <c r="G34" s="387">
        <f>$G$335</f>
        <v>1.1279999999999999</v>
      </c>
      <c r="H34" s="388">
        <f t="shared" ref="H34" si="11">F34*G34</f>
        <v>2971</v>
      </c>
      <c r="I34" s="387">
        <f>Дефляторы!$D$27</f>
        <v>1.0509999999999999</v>
      </c>
      <c r="J34" s="388">
        <f t="shared" si="9"/>
        <v>3123</v>
      </c>
      <c r="K34" s="388">
        <f>H34+(J34-H34)*(1-30/100)</f>
        <v>3077</v>
      </c>
      <c r="L34" s="194"/>
      <c r="M34" s="194"/>
      <c r="N34" s="194"/>
    </row>
    <row r="35" spans="1:14" s="390" customFormat="1" ht="15.75" hidden="1" outlineLevel="3" x14ac:dyDescent="0.2">
      <c r="A35" s="191"/>
      <c r="B35" s="132"/>
      <c r="C35" s="132" t="s">
        <v>702</v>
      </c>
      <c r="D35" s="315"/>
      <c r="E35" s="233"/>
      <c r="F35" s="233"/>
      <c r="G35" s="194"/>
      <c r="H35" s="392"/>
      <c r="I35" s="194">
        <f>Дефляторы!$D$27</f>
        <v>1.0509999999999999</v>
      </c>
      <c r="J35" s="392">
        <f t="shared" si="9"/>
        <v>0</v>
      </c>
      <c r="K35" s="392"/>
      <c r="L35" s="194"/>
      <c r="M35" s="194"/>
      <c r="N35" s="194"/>
    </row>
    <row r="36" spans="1:14" s="390" customFormat="1" ht="15.75" hidden="1" outlineLevel="3" x14ac:dyDescent="0.2">
      <c r="A36" s="191" t="s">
        <v>1220</v>
      </c>
      <c r="B36" s="132" t="s">
        <v>703</v>
      </c>
      <c r="C36" s="132" t="s">
        <v>696</v>
      </c>
      <c r="D36" s="315" t="s">
        <v>271</v>
      </c>
      <c r="E36" s="233">
        <v>175</v>
      </c>
      <c r="F36" s="233">
        <f>267*1.005*6.99</f>
        <v>1876</v>
      </c>
      <c r="G36" s="387">
        <f>$G$335</f>
        <v>1.1279999999999999</v>
      </c>
      <c r="H36" s="388">
        <f t="shared" ref="H36" si="12">F36*G36</f>
        <v>2116</v>
      </c>
      <c r="I36" s="387">
        <f>Дефляторы!$D$27</f>
        <v>1.0509999999999999</v>
      </c>
      <c r="J36" s="388">
        <f t="shared" si="9"/>
        <v>2224</v>
      </c>
      <c r="K36" s="388">
        <f>H36+(J36-H36)*(1-30/100)</f>
        <v>2192</v>
      </c>
      <c r="L36" s="194"/>
      <c r="M36" s="194"/>
      <c r="N36" s="194"/>
    </row>
    <row r="37" spans="1:14" s="362" customFormat="1" ht="31.5" outlineLevel="1" collapsed="1" x14ac:dyDescent="0.2">
      <c r="A37" s="363" t="s">
        <v>259</v>
      </c>
      <c r="B37" s="363"/>
      <c r="C37" s="370" t="s">
        <v>968</v>
      </c>
      <c r="D37" s="359" t="s">
        <v>250</v>
      </c>
      <c r="E37" s="154">
        <v>1</v>
      </c>
      <c r="F37" s="154">
        <f>SUM(F38:F53)</f>
        <v>5903129</v>
      </c>
      <c r="G37" s="296">
        <f>$G$335</f>
        <v>1.1279999999999999</v>
      </c>
      <c r="H37" s="337">
        <f>SUM(H38:H53)</f>
        <v>6658729</v>
      </c>
      <c r="I37" s="296">
        <f>Дефляторы!$D$27</f>
        <v>1.0509999999999999</v>
      </c>
      <c r="J37" s="337">
        <f>SUM(J38:J53)</f>
        <v>6998323</v>
      </c>
      <c r="K37" s="337">
        <f>SUM(K38:K53)</f>
        <v>6896446</v>
      </c>
      <c r="L37" s="154"/>
      <c r="M37" s="360"/>
      <c r="N37" s="360"/>
    </row>
    <row r="38" spans="1:14" s="373" customFormat="1" ht="15.75" hidden="1" outlineLevel="2" x14ac:dyDescent="0.2">
      <c r="A38" s="208"/>
      <c r="B38" s="100"/>
      <c r="C38" s="393" t="s">
        <v>279</v>
      </c>
      <c r="D38" s="157"/>
      <c r="E38" s="277"/>
      <c r="F38" s="277"/>
      <c r="G38" s="299"/>
      <c r="H38" s="339"/>
      <c r="I38" s="299">
        <f>Дефляторы!$D$27</f>
        <v>1.0509999999999999</v>
      </c>
      <c r="J38" s="339"/>
      <c r="K38" s="339"/>
      <c r="L38" s="372"/>
      <c r="M38" s="372"/>
      <c r="N38" s="372"/>
    </row>
    <row r="39" spans="1:14" s="373" customFormat="1" ht="15.75" hidden="1" outlineLevel="2" x14ac:dyDescent="0.2">
      <c r="A39" s="208"/>
      <c r="B39" s="100"/>
      <c r="C39" s="267" t="s">
        <v>971</v>
      </c>
      <c r="D39" s="157"/>
      <c r="E39" s="277"/>
      <c r="F39" s="277"/>
      <c r="G39" s="394"/>
      <c r="H39" s="395"/>
      <c r="I39" s="394">
        <f>Дефляторы!$D$27</f>
        <v>1.0509999999999999</v>
      </c>
      <c r="J39" s="395"/>
      <c r="K39" s="395"/>
      <c r="L39" s="372"/>
      <c r="M39" s="372"/>
      <c r="N39" s="372"/>
    </row>
    <row r="40" spans="1:14" s="373" customFormat="1" ht="25.5" hidden="1" outlineLevel="2" x14ac:dyDescent="0.2">
      <c r="A40" s="208" t="s">
        <v>260</v>
      </c>
      <c r="B40" s="100" t="s">
        <v>341</v>
      </c>
      <c r="C40" s="100" t="s">
        <v>265</v>
      </c>
      <c r="D40" s="157" t="s">
        <v>262</v>
      </c>
      <c r="E40" s="277">
        <v>2251</v>
      </c>
      <c r="F40" s="277">
        <f>2251/6243*1244910*(1.023*1.005-2.3%*15%)*6.99-7</f>
        <v>3214980</v>
      </c>
      <c r="G40" s="299">
        <f>$G$335</f>
        <v>1.1279999999999999</v>
      </c>
      <c r="H40" s="339">
        <f t="shared" ref="H40" si="13">F40*G40</f>
        <v>3626497</v>
      </c>
      <c r="I40" s="299">
        <f>Дефляторы!$D$27</f>
        <v>1.0509999999999999</v>
      </c>
      <c r="J40" s="339">
        <f>H40*I40</f>
        <v>3811448</v>
      </c>
      <c r="K40" s="339">
        <f>H40+(J40-H40)*(1-30/100)</f>
        <v>3755963</v>
      </c>
      <c r="L40" s="372"/>
      <c r="M40" s="372"/>
      <c r="N40" s="372"/>
    </row>
    <row r="41" spans="1:14" s="373" customFormat="1" ht="15.75" hidden="1" outlineLevel="2" x14ac:dyDescent="0.2">
      <c r="A41" s="208" t="s">
        <v>276</v>
      </c>
      <c r="B41" s="100" t="s">
        <v>1229</v>
      </c>
      <c r="C41" s="100" t="s">
        <v>340</v>
      </c>
      <c r="D41" s="157" t="s">
        <v>262</v>
      </c>
      <c r="E41" s="277">
        <v>2251</v>
      </c>
      <c r="F41" s="277">
        <f>2251/6243*(68858+88564)*(1.023*1.005-2.3%*15%)*6.99</f>
        <v>406543</v>
      </c>
      <c r="G41" s="299">
        <f>$G$335</f>
        <v>1.1279999999999999</v>
      </c>
      <c r="H41" s="339">
        <f t="shared" ref="H41" si="14">F41*G41</f>
        <v>458581</v>
      </c>
      <c r="I41" s="299">
        <f>Дефляторы!$D$27</f>
        <v>1.0509999999999999</v>
      </c>
      <c r="J41" s="339">
        <f t="shared" ref="J41:J53" si="15">H41*I41</f>
        <v>481969</v>
      </c>
      <c r="K41" s="339">
        <f>H41+(J41-H41)*(1-30/100)</f>
        <v>474953</v>
      </c>
      <c r="L41" s="372"/>
      <c r="M41" s="372"/>
      <c r="N41" s="372"/>
    </row>
    <row r="42" spans="1:14" s="379" customFormat="1" ht="25.5" hidden="1" outlineLevel="2" x14ac:dyDescent="0.2">
      <c r="A42" s="312" t="s">
        <v>315</v>
      </c>
      <c r="B42" s="171" t="s">
        <v>1230</v>
      </c>
      <c r="C42" s="171" t="s">
        <v>1231</v>
      </c>
      <c r="D42" s="316" t="s">
        <v>262</v>
      </c>
      <c r="E42" s="313">
        <f>312.2*2251/6243</f>
        <v>112.6</v>
      </c>
      <c r="F42" s="170">
        <f>2251/6243*(20383+3443)*(1.023*1.005-2.3%*15%)*6.99</f>
        <v>61531</v>
      </c>
      <c r="G42" s="376">
        <f>$G$335</f>
        <v>1.1279999999999999</v>
      </c>
      <c r="H42" s="377">
        <f t="shared" ref="H42:H44" si="16">F42*G42</f>
        <v>69407</v>
      </c>
      <c r="I42" s="376">
        <f>Дефляторы!$D$27</f>
        <v>1.0509999999999999</v>
      </c>
      <c r="J42" s="377">
        <f t="shared" si="15"/>
        <v>72947</v>
      </c>
      <c r="K42" s="377">
        <f t="shared" ref="K42:K53" si="17">H42+(J42-H42)*(1-30/100)</f>
        <v>71885</v>
      </c>
      <c r="L42" s="378" t="s">
        <v>1232</v>
      </c>
      <c r="M42" s="396"/>
      <c r="N42" s="378"/>
    </row>
    <row r="43" spans="1:14" s="379" customFormat="1" ht="15.75" hidden="1" outlineLevel="2" x14ac:dyDescent="0.2">
      <c r="A43" s="312" t="s">
        <v>324</v>
      </c>
      <c r="B43" s="171" t="s">
        <v>1222</v>
      </c>
      <c r="C43" s="171" t="s">
        <v>1223</v>
      </c>
      <c r="D43" s="316" t="s">
        <v>262</v>
      </c>
      <c r="E43" s="313">
        <f>312.2*2251/6243</f>
        <v>112.6</v>
      </c>
      <c r="F43" s="170">
        <f>2251/6243*(9563)*(1.023*1.005-2.3%*15%)*6.99</f>
        <v>24696</v>
      </c>
      <c r="G43" s="376">
        <f>$G$335</f>
        <v>1.1279999999999999</v>
      </c>
      <c r="H43" s="377">
        <f t="shared" si="16"/>
        <v>27857</v>
      </c>
      <c r="I43" s="376">
        <f>Дефляторы!$D$27</f>
        <v>1.0509999999999999</v>
      </c>
      <c r="J43" s="377">
        <f t="shared" si="15"/>
        <v>29278</v>
      </c>
      <c r="K43" s="377">
        <f t="shared" si="17"/>
        <v>28852</v>
      </c>
      <c r="L43" s="378" t="s">
        <v>1232</v>
      </c>
      <c r="M43" s="378"/>
      <c r="N43" s="378"/>
    </row>
    <row r="44" spans="1:14" s="373" customFormat="1" ht="15.75" hidden="1" outlineLevel="2" x14ac:dyDescent="0.2">
      <c r="A44" s="208" t="s">
        <v>1032</v>
      </c>
      <c r="B44" s="100" t="s">
        <v>1221</v>
      </c>
      <c r="C44" s="100" t="s">
        <v>343</v>
      </c>
      <c r="D44" s="157" t="s">
        <v>262</v>
      </c>
      <c r="E44" s="277">
        <v>2059</v>
      </c>
      <c r="F44" s="277">
        <f>2059/5865*(20459+14414+61608)*(1.023*1.005-2.3%*15%)*6.99</f>
        <v>242599</v>
      </c>
      <c r="G44" s="299">
        <f>$G$335</f>
        <v>1.1279999999999999</v>
      </c>
      <c r="H44" s="339">
        <f t="shared" si="16"/>
        <v>273652</v>
      </c>
      <c r="I44" s="299">
        <f>Дефляторы!$D$27</f>
        <v>1.0509999999999999</v>
      </c>
      <c r="J44" s="339">
        <f t="shared" si="15"/>
        <v>287608</v>
      </c>
      <c r="K44" s="339">
        <f t="shared" si="17"/>
        <v>283421</v>
      </c>
      <c r="L44" s="372" t="s">
        <v>344</v>
      </c>
      <c r="M44" s="372"/>
      <c r="N44" s="372"/>
    </row>
    <row r="45" spans="1:14" s="373" customFormat="1" ht="15.75" hidden="1" outlineLevel="2" x14ac:dyDescent="0.2">
      <c r="A45" s="208"/>
      <c r="B45" s="100"/>
      <c r="C45" s="267" t="s">
        <v>970</v>
      </c>
      <c r="D45" s="157"/>
      <c r="E45" s="277"/>
      <c r="F45" s="277"/>
      <c r="G45" s="397"/>
      <c r="H45" s="339"/>
      <c r="I45" s="397">
        <f>Дефляторы!$D$27</f>
        <v>1.0509999999999999</v>
      </c>
      <c r="J45" s="339">
        <f t="shared" si="15"/>
        <v>0</v>
      </c>
      <c r="K45" s="339">
        <f t="shared" si="17"/>
        <v>0</v>
      </c>
      <c r="L45" s="372"/>
      <c r="M45" s="372"/>
      <c r="N45" s="372"/>
    </row>
    <row r="46" spans="1:14" s="373" customFormat="1" ht="25.5" hidden="1" outlineLevel="2" x14ac:dyDescent="0.2">
      <c r="A46" s="208" t="s">
        <v>1033</v>
      </c>
      <c r="B46" s="100" t="s">
        <v>422</v>
      </c>
      <c r="C46" s="100" t="s">
        <v>265</v>
      </c>
      <c r="D46" s="157" t="s">
        <v>262</v>
      </c>
      <c r="E46" s="382">
        <f>25.8</f>
        <v>25.8</v>
      </c>
      <c r="F46" s="277">
        <f>5145*(1.023*1.005-2.3%*15%)*6.99+35</f>
        <v>36886</v>
      </c>
      <c r="G46" s="299">
        <f t="shared" ref="G46:G54" si="18">$G$335</f>
        <v>1.1279999999999999</v>
      </c>
      <c r="H46" s="339">
        <f t="shared" ref="H46" si="19">F46*G46</f>
        <v>41607</v>
      </c>
      <c r="I46" s="299">
        <f>Дефляторы!$D$27</f>
        <v>1.0509999999999999</v>
      </c>
      <c r="J46" s="339">
        <f t="shared" si="15"/>
        <v>43729</v>
      </c>
      <c r="K46" s="339">
        <f t="shared" si="17"/>
        <v>43092</v>
      </c>
      <c r="L46" s="372"/>
      <c r="M46" s="372"/>
      <c r="N46" s="372"/>
    </row>
    <row r="47" spans="1:14" s="373" customFormat="1" ht="15.75" hidden="1" outlineLevel="2" x14ac:dyDescent="0.2">
      <c r="A47" s="208" t="s">
        <v>1034</v>
      </c>
      <c r="B47" s="100" t="s">
        <v>421</v>
      </c>
      <c r="C47" s="100" t="s">
        <v>418</v>
      </c>
      <c r="D47" s="157" t="s">
        <v>262</v>
      </c>
      <c r="E47" s="382">
        <f>10.3</f>
        <v>10.3</v>
      </c>
      <c r="F47" s="277">
        <f>132*(1.023*1.005-2.3%*15%)*6.99</f>
        <v>945</v>
      </c>
      <c r="G47" s="299">
        <f t="shared" si="18"/>
        <v>1.1279999999999999</v>
      </c>
      <c r="H47" s="339">
        <f t="shared" ref="H47:H110" si="20">F47*G47</f>
        <v>1066</v>
      </c>
      <c r="I47" s="299">
        <f>Дефляторы!$D$27</f>
        <v>1.0509999999999999</v>
      </c>
      <c r="J47" s="339">
        <f t="shared" si="15"/>
        <v>1120</v>
      </c>
      <c r="K47" s="339">
        <f t="shared" si="17"/>
        <v>1104</v>
      </c>
      <c r="L47" s="372"/>
      <c r="M47" s="398"/>
      <c r="N47" s="372"/>
    </row>
    <row r="48" spans="1:14" s="373" customFormat="1" ht="25.5" hidden="1" outlineLevel="2" x14ac:dyDescent="0.2">
      <c r="A48" s="208" t="s">
        <v>1035</v>
      </c>
      <c r="B48" s="100" t="s">
        <v>420</v>
      </c>
      <c r="C48" s="100" t="s">
        <v>419</v>
      </c>
      <c r="D48" s="157" t="s">
        <v>262</v>
      </c>
      <c r="E48" s="382">
        <f>15.5</f>
        <v>15.5</v>
      </c>
      <c r="F48" s="277">
        <f>(248+140+28)*(1.023*1.005-2.3%*15%)*6.99</f>
        <v>2980</v>
      </c>
      <c r="G48" s="299">
        <f t="shared" si="18"/>
        <v>1.1279999999999999</v>
      </c>
      <c r="H48" s="339">
        <f t="shared" si="20"/>
        <v>3361</v>
      </c>
      <c r="I48" s="299">
        <f>Дефляторы!$D$27</f>
        <v>1.0509999999999999</v>
      </c>
      <c r="J48" s="339">
        <f t="shared" si="15"/>
        <v>3532</v>
      </c>
      <c r="K48" s="339">
        <f t="shared" si="17"/>
        <v>3481</v>
      </c>
      <c r="L48" s="372"/>
      <c r="M48" s="398"/>
      <c r="N48" s="372"/>
    </row>
    <row r="49" spans="1:14" s="373" customFormat="1" ht="15.75" hidden="1" outlineLevel="2" x14ac:dyDescent="0.2">
      <c r="A49" s="208" t="s">
        <v>1036</v>
      </c>
      <c r="B49" s="100" t="s">
        <v>423</v>
      </c>
      <c r="C49" s="100" t="s">
        <v>343</v>
      </c>
      <c r="D49" s="157" t="s">
        <v>262</v>
      </c>
      <c r="E49" s="382">
        <f>10.3</f>
        <v>10.3</v>
      </c>
      <c r="F49" s="277">
        <f>(30+102)*(1.023*1.005-2.3%*15%)*6.99</f>
        <v>945</v>
      </c>
      <c r="G49" s="299">
        <f t="shared" si="18"/>
        <v>1.1279999999999999</v>
      </c>
      <c r="H49" s="339">
        <f t="shared" si="20"/>
        <v>1066</v>
      </c>
      <c r="I49" s="299">
        <f>Дефляторы!$D$27</f>
        <v>1.0509999999999999</v>
      </c>
      <c r="J49" s="339">
        <f t="shared" si="15"/>
        <v>1120</v>
      </c>
      <c r="K49" s="339">
        <f t="shared" si="17"/>
        <v>1104</v>
      </c>
      <c r="L49" s="372"/>
      <c r="M49" s="398"/>
      <c r="N49" s="372"/>
    </row>
    <row r="50" spans="1:14" s="373" customFormat="1" ht="15.75" hidden="1" outlineLevel="2" x14ac:dyDescent="0.2">
      <c r="A50" s="208" t="s">
        <v>1037</v>
      </c>
      <c r="B50" s="100" t="s">
        <v>426</v>
      </c>
      <c r="C50" s="100" t="s">
        <v>424</v>
      </c>
      <c r="D50" s="157" t="s">
        <v>305</v>
      </c>
      <c r="E50" s="277">
        <v>1</v>
      </c>
      <c r="F50" s="277">
        <f>23115*(1.023*1.005-2.3%*15%)*6.99</f>
        <v>165559</v>
      </c>
      <c r="G50" s="299">
        <f t="shared" si="18"/>
        <v>1.1279999999999999</v>
      </c>
      <c r="H50" s="339">
        <f t="shared" si="20"/>
        <v>186751</v>
      </c>
      <c r="I50" s="299">
        <f>Дефляторы!$D$27</f>
        <v>1.0509999999999999</v>
      </c>
      <c r="J50" s="339">
        <f t="shared" si="15"/>
        <v>196275</v>
      </c>
      <c r="K50" s="339">
        <f t="shared" si="17"/>
        <v>193418</v>
      </c>
      <c r="L50" s="372" t="s">
        <v>425</v>
      </c>
      <c r="M50" s="372"/>
      <c r="N50" s="372"/>
    </row>
    <row r="51" spans="1:14" s="373" customFormat="1" ht="15.75" hidden="1" outlineLevel="2" x14ac:dyDescent="0.2">
      <c r="A51" s="208" t="s">
        <v>1038</v>
      </c>
      <c r="B51" s="100" t="s">
        <v>428</v>
      </c>
      <c r="C51" s="100" t="s">
        <v>427</v>
      </c>
      <c r="D51" s="157" t="s">
        <v>271</v>
      </c>
      <c r="E51" s="299">
        <f>32.909</f>
        <v>32.908999999999999</v>
      </c>
      <c r="F51" s="277">
        <f>3478*(1.023*1.005-2.3%*15%)*6.99</f>
        <v>24911</v>
      </c>
      <c r="G51" s="299">
        <f t="shared" si="18"/>
        <v>1.1279999999999999</v>
      </c>
      <c r="H51" s="339">
        <f t="shared" si="20"/>
        <v>28100</v>
      </c>
      <c r="I51" s="299">
        <f>Дефляторы!$D$27</f>
        <v>1.0509999999999999</v>
      </c>
      <c r="J51" s="339">
        <f t="shared" si="15"/>
        <v>29533</v>
      </c>
      <c r="K51" s="339">
        <f t="shared" si="17"/>
        <v>29103</v>
      </c>
      <c r="L51" s="372"/>
      <c r="M51" s="372"/>
      <c r="N51" s="372"/>
    </row>
    <row r="52" spans="1:14" s="373" customFormat="1" ht="15.75" hidden="1" outlineLevel="2" x14ac:dyDescent="0.2">
      <c r="A52" s="208" t="s">
        <v>1334</v>
      </c>
      <c r="B52" s="100" t="s">
        <v>149</v>
      </c>
      <c r="C52" s="100" t="s">
        <v>973</v>
      </c>
      <c r="D52" s="157" t="s">
        <v>305</v>
      </c>
      <c r="E52" s="277">
        <v>1</v>
      </c>
      <c r="F52" s="277">
        <f>133868*(1.023*1.005-2.3%*15%)*6.99+15</f>
        <v>958832</v>
      </c>
      <c r="G52" s="299">
        <f t="shared" si="18"/>
        <v>1.1279999999999999</v>
      </c>
      <c r="H52" s="339">
        <f t="shared" si="20"/>
        <v>1081562</v>
      </c>
      <c r="I52" s="299">
        <f>Дефляторы!$D$27</f>
        <v>1.0509999999999999</v>
      </c>
      <c r="J52" s="339">
        <f t="shared" si="15"/>
        <v>1136722</v>
      </c>
      <c r="K52" s="339">
        <f t="shared" si="17"/>
        <v>1120174</v>
      </c>
      <c r="L52" s="372"/>
      <c r="M52" s="372"/>
      <c r="N52" s="372"/>
    </row>
    <row r="53" spans="1:14" s="373" customFormat="1" ht="15.75" hidden="1" outlineLevel="2" x14ac:dyDescent="0.2">
      <c r="A53" s="208" t="s">
        <v>1335</v>
      </c>
      <c r="B53" s="100" t="s">
        <v>753</v>
      </c>
      <c r="C53" s="100" t="s">
        <v>969</v>
      </c>
      <c r="D53" s="157" t="s">
        <v>305</v>
      </c>
      <c r="E53" s="277">
        <v>1</v>
      </c>
      <c r="F53" s="277">
        <f>106350*(1.023*1.005-2.3%*15%)*6.99</f>
        <v>761722</v>
      </c>
      <c r="G53" s="299">
        <f t="shared" si="18"/>
        <v>1.1279999999999999</v>
      </c>
      <c r="H53" s="339">
        <f t="shared" si="20"/>
        <v>859222</v>
      </c>
      <c r="I53" s="299">
        <f>Дефляторы!$D$27</f>
        <v>1.0509999999999999</v>
      </c>
      <c r="J53" s="339">
        <f t="shared" si="15"/>
        <v>903042</v>
      </c>
      <c r="K53" s="339">
        <f t="shared" si="17"/>
        <v>889896</v>
      </c>
      <c r="L53" s="372" t="s">
        <v>351</v>
      </c>
      <c r="M53" s="372"/>
      <c r="N53" s="372"/>
    </row>
    <row r="54" spans="1:14" s="362" customFormat="1" ht="15.75" outlineLevel="1" collapsed="1" x14ac:dyDescent="0.2">
      <c r="A54" s="282" t="s">
        <v>277</v>
      </c>
      <c r="B54" s="283"/>
      <c r="C54" s="283" t="s">
        <v>972</v>
      </c>
      <c r="D54" s="359" t="s">
        <v>250</v>
      </c>
      <c r="E54" s="154">
        <v>1</v>
      </c>
      <c r="F54" s="154">
        <f>SUM(F55:F69)</f>
        <v>4169179</v>
      </c>
      <c r="G54" s="296">
        <f t="shared" si="18"/>
        <v>1.1279999999999999</v>
      </c>
      <c r="H54" s="337">
        <f>SUM(H55:H69)</f>
        <v>4702836</v>
      </c>
      <c r="I54" s="296">
        <f>Дефляторы!$D$27</f>
        <v>1.0509999999999999</v>
      </c>
      <c r="J54" s="337">
        <f>SUM(J55:J69)</f>
        <v>4942679</v>
      </c>
      <c r="K54" s="337">
        <f>SUM(K55:K69)</f>
        <v>4870726</v>
      </c>
      <c r="L54" s="360"/>
      <c r="M54" s="360"/>
      <c r="N54" s="360"/>
    </row>
    <row r="55" spans="1:14" s="373" customFormat="1" ht="15.75" hidden="1" outlineLevel="2" x14ac:dyDescent="0.2">
      <c r="A55" s="208"/>
      <c r="B55" s="100"/>
      <c r="C55" s="393" t="s">
        <v>279</v>
      </c>
      <c r="D55" s="157"/>
      <c r="E55" s="277"/>
      <c r="F55" s="277"/>
      <c r="G55" s="299"/>
      <c r="H55" s="339"/>
      <c r="I55" s="299">
        <f>Дефляторы!$D$27</f>
        <v>1.0509999999999999</v>
      </c>
      <c r="J55" s="339"/>
      <c r="K55" s="339"/>
      <c r="L55" s="372"/>
      <c r="M55" s="372"/>
      <c r="N55" s="372"/>
    </row>
    <row r="56" spans="1:14" s="373" customFormat="1" ht="15.75" hidden="1" outlineLevel="2" x14ac:dyDescent="0.2">
      <c r="A56" s="208"/>
      <c r="B56" s="100"/>
      <c r="C56" s="267" t="s">
        <v>976</v>
      </c>
      <c r="D56" s="157"/>
      <c r="E56" s="277"/>
      <c r="F56" s="277"/>
      <c r="G56" s="299"/>
      <c r="H56" s="339"/>
      <c r="I56" s="299">
        <f>Дефляторы!$D$27</f>
        <v>1.0509999999999999</v>
      </c>
      <c r="J56" s="339"/>
      <c r="K56" s="339"/>
      <c r="L56" s="372"/>
      <c r="M56" s="372"/>
      <c r="N56" s="372"/>
    </row>
    <row r="57" spans="1:14" s="373" customFormat="1" ht="25.5" hidden="1" outlineLevel="2" x14ac:dyDescent="0.2">
      <c r="A57" s="208" t="s">
        <v>278</v>
      </c>
      <c r="B57" s="100" t="s">
        <v>341</v>
      </c>
      <c r="C57" s="100" t="s">
        <v>265</v>
      </c>
      <c r="D57" s="157" t="s">
        <v>262</v>
      </c>
      <c r="E57" s="277">
        <v>831</v>
      </c>
      <c r="F57" s="277">
        <f>831/6243*1244910*(1.023*1.005-2.3%*15%)*6.99</f>
        <v>1186874</v>
      </c>
      <c r="G57" s="299">
        <f>$G$335</f>
        <v>1.1279999999999999</v>
      </c>
      <c r="H57" s="339">
        <f t="shared" si="20"/>
        <v>1338794</v>
      </c>
      <c r="I57" s="299">
        <f>Дефляторы!$D$27</f>
        <v>1.0509999999999999</v>
      </c>
      <c r="J57" s="339">
        <f>H57*I57</f>
        <v>1407072</v>
      </c>
      <c r="K57" s="339">
        <f t="shared" ref="K57:K69" si="21">H57+(J57-H57)*(1-30/100)</f>
        <v>1386589</v>
      </c>
      <c r="L57" s="372"/>
      <c r="M57" s="372"/>
      <c r="N57" s="372"/>
    </row>
    <row r="58" spans="1:14" s="373" customFormat="1" ht="15.75" hidden="1" outlineLevel="2" x14ac:dyDescent="0.2">
      <c r="A58" s="208" t="s">
        <v>280</v>
      </c>
      <c r="B58" s="100" t="s">
        <v>1229</v>
      </c>
      <c r="C58" s="100" t="s">
        <v>340</v>
      </c>
      <c r="D58" s="157" t="s">
        <v>262</v>
      </c>
      <c r="E58" s="277">
        <v>831</v>
      </c>
      <c r="F58" s="277">
        <f>831/6243*(68858+88564)*(1.023*1.005-2.3%*15%)*6.99</f>
        <v>150083</v>
      </c>
      <c r="G58" s="299">
        <f>$G$335</f>
        <v>1.1279999999999999</v>
      </c>
      <c r="H58" s="339">
        <f t="shared" si="20"/>
        <v>169294</v>
      </c>
      <c r="I58" s="299">
        <f>Дефляторы!$D$27</f>
        <v>1.0509999999999999</v>
      </c>
      <c r="J58" s="339">
        <f t="shared" ref="J58:J69" si="22">H58*I58</f>
        <v>177928</v>
      </c>
      <c r="K58" s="339">
        <f t="shared" si="21"/>
        <v>175338</v>
      </c>
      <c r="L58" s="372"/>
      <c r="M58" s="372"/>
      <c r="N58" s="372"/>
    </row>
    <row r="59" spans="1:14" s="379" customFormat="1" ht="25.5" hidden="1" outlineLevel="2" x14ac:dyDescent="0.2">
      <c r="A59" s="312" t="s">
        <v>788</v>
      </c>
      <c r="B59" s="171" t="s">
        <v>1230</v>
      </c>
      <c r="C59" s="171" t="s">
        <v>1231</v>
      </c>
      <c r="D59" s="316" t="s">
        <v>262</v>
      </c>
      <c r="E59" s="313">
        <f>312.2*831/6243</f>
        <v>41.6</v>
      </c>
      <c r="F59" s="170">
        <f>831/6243*(20383+3443)*(1.023*1.005-2.3%*15%)*6.99</f>
        <v>22715</v>
      </c>
      <c r="G59" s="376">
        <f>$G$335</f>
        <v>1.1279999999999999</v>
      </c>
      <c r="H59" s="377">
        <f t="shared" si="20"/>
        <v>25623</v>
      </c>
      <c r="I59" s="376">
        <f>Дефляторы!$D$27</f>
        <v>1.0509999999999999</v>
      </c>
      <c r="J59" s="377">
        <f t="shared" si="22"/>
        <v>26930</v>
      </c>
      <c r="K59" s="377">
        <f t="shared" si="21"/>
        <v>26538</v>
      </c>
      <c r="L59" s="378" t="s">
        <v>1232</v>
      </c>
      <c r="M59" s="378"/>
      <c r="N59" s="378"/>
    </row>
    <row r="60" spans="1:14" s="379" customFormat="1" ht="15.75" hidden="1" outlineLevel="2" x14ac:dyDescent="0.2">
      <c r="A60" s="312" t="s">
        <v>806</v>
      </c>
      <c r="B60" s="171" t="s">
        <v>1222</v>
      </c>
      <c r="C60" s="171" t="s">
        <v>1223</v>
      </c>
      <c r="D60" s="316" t="s">
        <v>262</v>
      </c>
      <c r="E60" s="313">
        <f>312.2*831/6243</f>
        <v>41.6</v>
      </c>
      <c r="F60" s="170">
        <f>831/6243*(9563)*(1.023*1.005-2.3%*15%)*6.99</f>
        <v>9117</v>
      </c>
      <c r="G60" s="376">
        <f>$G$335</f>
        <v>1.1279999999999999</v>
      </c>
      <c r="H60" s="377">
        <f t="shared" si="20"/>
        <v>10284</v>
      </c>
      <c r="I60" s="376">
        <f>Дефляторы!$D$27</f>
        <v>1.0509999999999999</v>
      </c>
      <c r="J60" s="377">
        <f t="shared" si="22"/>
        <v>10808</v>
      </c>
      <c r="K60" s="377">
        <f t="shared" si="21"/>
        <v>10651</v>
      </c>
      <c r="L60" s="378" t="s">
        <v>1232</v>
      </c>
      <c r="M60" s="378"/>
      <c r="N60" s="378"/>
    </row>
    <row r="61" spans="1:14" s="373" customFormat="1" ht="15.75" hidden="1" outlineLevel="2" x14ac:dyDescent="0.2">
      <c r="A61" s="208" t="s">
        <v>808</v>
      </c>
      <c r="B61" s="100" t="s">
        <v>1221</v>
      </c>
      <c r="C61" s="100" t="s">
        <v>343</v>
      </c>
      <c r="D61" s="157" t="s">
        <v>262</v>
      </c>
      <c r="E61" s="277">
        <v>794</v>
      </c>
      <c r="F61" s="277">
        <f>794/5865*(20459+14414+61608)*(1.023*1.005-2.3%*15%)*6.99</f>
        <v>93552</v>
      </c>
      <c r="G61" s="299">
        <f>$G$335</f>
        <v>1.1279999999999999</v>
      </c>
      <c r="H61" s="339">
        <f t="shared" si="20"/>
        <v>105527</v>
      </c>
      <c r="I61" s="299">
        <f>Дефляторы!$D$27</f>
        <v>1.0509999999999999</v>
      </c>
      <c r="J61" s="339">
        <f t="shared" si="22"/>
        <v>110909</v>
      </c>
      <c r="K61" s="339">
        <f t="shared" si="21"/>
        <v>109294</v>
      </c>
      <c r="L61" s="372" t="s">
        <v>344</v>
      </c>
      <c r="M61" s="372"/>
      <c r="N61" s="372"/>
    </row>
    <row r="62" spans="1:14" s="373" customFormat="1" ht="15.75" hidden="1" outlineLevel="2" x14ac:dyDescent="0.2">
      <c r="A62" s="208"/>
      <c r="B62" s="100"/>
      <c r="C62" s="267" t="s">
        <v>977</v>
      </c>
      <c r="D62" s="157"/>
      <c r="E62" s="277"/>
      <c r="F62" s="277"/>
      <c r="G62" s="299"/>
      <c r="H62" s="339"/>
      <c r="I62" s="299">
        <f>Дефляторы!$D$27</f>
        <v>1.0509999999999999</v>
      </c>
      <c r="J62" s="339">
        <f t="shared" si="22"/>
        <v>0</v>
      </c>
      <c r="K62" s="339">
        <f t="shared" si="21"/>
        <v>0</v>
      </c>
      <c r="L62" s="372"/>
      <c r="M62" s="372"/>
      <c r="N62" s="372"/>
    </row>
    <row r="63" spans="1:14" s="373" customFormat="1" ht="25.5" hidden="1" outlineLevel="2" x14ac:dyDescent="0.2">
      <c r="A63" s="208" t="s">
        <v>814</v>
      </c>
      <c r="B63" s="100" t="s">
        <v>341</v>
      </c>
      <c r="C63" s="100" t="s">
        <v>265</v>
      </c>
      <c r="D63" s="157" t="s">
        <v>262</v>
      </c>
      <c r="E63" s="277">
        <v>729</v>
      </c>
      <c r="F63" s="277">
        <f>729/6243*1244910*(1.023*1.005-2.3%*15%)*6.99</f>
        <v>1041193</v>
      </c>
      <c r="G63" s="299">
        <f t="shared" ref="G63:G70" si="23">$G$335</f>
        <v>1.1279999999999999</v>
      </c>
      <c r="H63" s="339">
        <f t="shared" si="20"/>
        <v>1174466</v>
      </c>
      <c r="I63" s="299">
        <f>Дефляторы!$D$27</f>
        <v>1.0509999999999999</v>
      </c>
      <c r="J63" s="339">
        <f t="shared" si="22"/>
        <v>1234364</v>
      </c>
      <c r="K63" s="339">
        <f t="shared" si="21"/>
        <v>1216395</v>
      </c>
      <c r="L63" s="372"/>
      <c r="M63" s="372"/>
      <c r="N63" s="372"/>
    </row>
    <row r="64" spans="1:14" s="373" customFormat="1" ht="15.75" hidden="1" outlineLevel="2" x14ac:dyDescent="0.2">
      <c r="A64" s="208" t="s">
        <v>818</v>
      </c>
      <c r="B64" s="100" t="s">
        <v>1229</v>
      </c>
      <c r="C64" s="100" t="s">
        <v>340</v>
      </c>
      <c r="D64" s="157" t="s">
        <v>262</v>
      </c>
      <c r="E64" s="277">
        <v>729</v>
      </c>
      <c r="F64" s="277">
        <f>729/6243*(68858+88564)*(1.023*1.005-2.3%*15%)*6.99</f>
        <v>131661</v>
      </c>
      <c r="G64" s="299">
        <f t="shared" si="23"/>
        <v>1.1279999999999999</v>
      </c>
      <c r="H64" s="339">
        <f t="shared" si="20"/>
        <v>148514</v>
      </c>
      <c r="I64" s="299">
        <f>Дефляторы!$D$27</f>
        <v>1.0509999999999999</v>
      </c>
      <c r="J64" s="339">
        <f t="shared" si="22"/>
        <v>156088</v>
      </c>
      <c r="K64" s="339">
        <f t="shared" si="21"/>
        <v>153816</v>
      </c>
      <c r="L64" s="372"/>
      <c r="M64" s="372"/>
      <c r="N64" s="372"/>
    </row>
    <row r="65" spans="1:14" s="381" customFormat="1" ht="25.5" hidden="1" outlineLevel="2" x14ac:dyDescent="0.2">
      <c r="A65" s="312" t="s">
        <v>822</v>
      </c>
      <c r="B65" s="171" t="s">
        <v>1230</v>
      </c>
      <c r="C65" s="171" t="s">
        <v>1231</v>
      </c>
      <c r="D65" s="316" t="s">
        <v>262</v>
      </c>
      <c r="E65" s="313">
        <f>312.2*729/6243</f>
        <v>36.5</v>
      </c>
      <c r="F65" s="170">
        <f>729/6243*(20383+3443)*(1.023*1.005-2.3%*15%)*6.99</f>
        <v>19927</v>
      </c>
      <c r="G65" s="376">
        <f t="shared" si="23"/>
        <v>1.1279999999999999</v>
      </c>
      <c r="H65" s="377">
        <f t="shared" si="20"/>
        <v>22478</v>
      </c>
      <c r="I65" s="376">
        <f>Дефляторы!$D$27</f>
        <v>1.0509999999999999</v>
      </c>
      <c r="J65" s="377">
        <f t="shared" si="22"/>
        <v>23624</v>
      </c>
      <c r="K65" s="377">
        <f t="shared" si="21"/>
        <v>23280</v>
      </c>
      <c r="L65" s="380" t="s">
        <v>1232</v>
      </c>
      <c r="M65" s="380"/>
      <c r="N65" s="380"/>
    </row>
    <row r="66" spans="1:14" s="381" customFormat="1" ht="15.75" hidden="1" outlineLevel="2" x14ac:dyDescent="0.2">
      <c r="A66" s="312" t="s">
        <v>826</v>
      </c>
      <c r="B66" s="171" t="s">
        <v>1222</v>
      </c>
      <c r="C66" s="171" t="s">
        <v>1223</v>
      </c>
      <c r="D66" s="316" t="s">
        <v>262</v>
      </c>
      <c r="E66" s="313">
        <f>312.2*729/6243</f>
        <v>36.5</v>
      </c>
      <c r="F66" s="170">
        <f>729/6243*(9563)*(1.023*1.005-2.3%*15%)*6.99</f>
        <v>7998</v>
      </c>
      <c r="G66" s="376">
        <f t="shared" si="23"/>
        <v>1.1279999999999999</v>
      </c>
      <c r="H66" s="377">
        <f t="shared" si="20"/>
        <v>9022</v>
      </c>
      <c r="I66" s="376">
        <f>Дефляторы!$D$27</f>
        <v>1.0509999999999999</v>
      </c>
      <c r="J66" s="377">
        <f t="shared" si="22"/>
        <v>9482</v>
      </c>
      <c r="K66" s="377">
        <f t="shared" si="21"/>
        <v>9344</v>
      </c>
      <c r="L66" s="380" t="s">
        <v>1232</v>
      </c>
      <c r="M66" s="380"/>
      <c r="N66" s="380"/>
    </row>
    <row r="67" spans="1:14" s="373" customFormat="1" ht="15.75" hidden="1" outlineLevel="2" x14ac:dyDescent="0.2">
      <c r="A67" s="208" t="s">
        <v>1336</v>
      </c>
      <c r="B67" s="100" t="s">
        <v>1221</v>
      </c>
      <c r="C67" s="100" t="s">
        <v>343</v>
      </c>
      <c r="D67" s="157" t="s">
        <v>262</v>
      </c>
      <c r="E67" s="277">
        <v>679</v>
      </c>
      <c r="F67" s="277">
        <f>679/5865*(20459+14414+61608)*(1.023*1.005-2.3%*15%)*6.99</f>
        <v>80002</v>
      </c>
      <c r="G67" s="299">
        <f t="shared" si="23"/>
        <v>1.1279999999999999</v>
      </c>
      <c r="H67" s="339">
        <f t="shared" si="20"/>
        <v>90242</v>
      </c>
      <c r="I67" s="299">
        <f>Дефляторы!$D$27</f>
        <v>1.0509999999999999</v>
      </c>
      <c r="J67" s="339">
        <f t="shared" si="22"/>
        <v>94844</v>
      </c>
      <c r="K67" s="339">
        <f t="shared" si="21"/>
        <v>93463</v>
      </c>
      <c r="L67" s="372" t="s">
        <v>344</v>
      </c>
      <c r="M67" s="372"/>
      <c r="N67" s="372"/>
    </row>
    <row r="68" spans="1:14" s="373" customFormat="1" ht="15.75" hidden="1" outlineLevel="2" x14ac:dyDescent="0.2">
      <c r="A68" s="208" t="s">
        <v>1337</v>
      </c>
      <c r="B68" s="100" t="s">
        <v>754</v>
      </c>
      <c r="C68" s="100" t="s">
        <v>974</v>
      </c>
      <c r="D68" s="157" t="s">
        <v>305</v>
      </c>
      <c r="E68" s="277">
        <v>1</v>
      </c>
      <c r="F68" s="277">
        <f>88017*(1.023*1.005-2.3%*15%)*6.99</f>
        <v>630414</v>
      </c>
      <c r="G68" s="299">
        <f t="shared" si="23"/>
        <v>1.1279999999999999</v>
      </c>
      <c r="H68" s="339">
        <f t="shared" si="20"/>
        <v>711107</v>
      </c>
      <c r="I68" s="299">
        <f>Дефляторы!$D$27</f>
        <v>1.0509999999999999</v>
      </c>
      <c r="J68" s="339">
        <f t="shared" si="22"/>
        <v>747373</v>
      </c>
      <c r="K68" s="339">
        <f t="shared" si="21"/>
        <v>736493</v>
      </c>
      <c r="L68" s="372" t="s">
        <v>350</v>
      </c>
      <c r="M68" s="372"/>
      <c r="N68" s="372"/>
    </row>
    <row r="69" spans="1:14" s="373" customFormat="1" ht="15.75" hidden="1" outlineLevel="2" x14ac:dyDescent="0.2">
      <c r="A69" s="208" t="s">
        <v>1338</v>
      </c>
      <c r="B69" s="100" t="s">
        <v>755</v>
      </c>
      <c r="C69" s="100" t="s">
        <v>975</v>
      </c>
      <c r="D69" s="157" t="s">
        <v>305</v>
      </c>
      <c r="E69" s="277">
        <v>1</v>
      </c>
      <c r="F69" s="277">
        <f>111086*(1.023*1.005-2.3%*15%)*6.99</f>
        <v>795643</v>
      </c>
      <c r="G69" s="299">
        <f t="shared" si="23"/>
        <v>1.1279999999999999</v>
      </c>
      <c r="H69" s="339">
        <f t="shared" si="20"/>
        <v>897485</v>
      </c>
      <c r="I69" s="299">
        <f>Дефляторы!$D$27</f>
        <v>1.0509999999999999</v>
      </c>
      <c r="J69" s="339">
        <f t="shared" si="22"/>
        <v>943257</v>
      </c>
      <c r="K69" s="339">
        <f t="shared" si="21"/>
        <v>929525</v>
      </c>
      <c r="L69" s="372" t="s">
        <v>349</v>
      </c>
      <c r="M69" s="372"/>
      <c r="N69" s="372"/>
    </row>
    <row r="70" spans="1:14" s="362" customFormat="1" ht="25.5" outlineLevel="1" collapsed="1" x14ac:dyDescent="0.2">
      <c r="A70" s="282" t="s">
        <v>281</v>
      </c>
      <c r="B70" s="283"/>
      <c r="C70" s="283" t="s">
        <v>978</v>
      </c>
      <c r="D70" s="359" t="s">
        <v>250</v>
      </c>
      <c r="E70" s="154">
        <v>1</v>
      </c>
      <c r="F70" s="154">
        <f>SUM(F71:F85)</f>
        <v>7205119</v>
      </c>
      <c r="G70" s="296">
        <f t="shared" si="23"/>
        <v>1.1279999999999999</v>
      </c>
      <c r="H70" s="337">
        <f>SUM(H71:H85)</f>
        <v>8127373</v>
      </c>
      <c r="I70" s="296">
        <f>Дефляторы!$D$27</f>
        <v>1.0509999999999999</v>
      </c>
      <c r="J70" s="337">
        <f>SUM(J71:J85)</f>
        <v>8541869</v>
      </c>
      <c r="K70" s="337">
        <f>SUM(K71:K85)</f>
        <v>8417522</v>
      </c>
      <c r="L70" s="360"/>
      <c r="M70" s="360"/>
      <c r="N70" s="360"/>
    </row>
    <row r="71" spans="1:14" s="373" customFormat="1" ht="15.75" hidden="1" outlineLevel="2" x14ac:dyDescent="0.2">
      <c r="A71" s="208"/>
      <c r="B71" s="100"/>
      <c r="C71" s="267" t="s">
        <v>982</v>
      </c>
      <c r="D71" s="157"/>
      <c r="E71" s="277"/>
      <c r="F71" s="277"/>
      <c r="G71" s="299"/>
      <c r="H71" s="339"/>
      <c r="I71" s="299">
        <f>Дефляторы!$D$27</f>
        <v>1.0509999999999999</v>
      </c>
      <c r="J71" s="339"/>
      <c r="K71" s="339"/>
      <c r="L71" s="372"/>
      <c r="M71" s="372"/>
      <c r="N71" s="372"/>
    </row>
    <row r="72" spans="1:14" s="373" customFormat="1" ht="25.5" hidden="1" outlineLevel="2" x14ac:dyDescent="0.2">
      <c r="A72" s="208" t="s">
        <v>282</v>
      </c>
      <c r="B72" s="100" t="s">
        <v>341</v>
      </c>
      <c r="C72" s="100" t="s">
        <v>265</v>
      </c>
      <c r="D72" s="157" t="s">
        <v>262</v>
      </c>
      <c r="E72" s="277">
        <v>2432</v>
      </c>
      <c r="F72" s="277">
        <f>2432/6243*1244910*(1.023*1.005-2.3%*15%)*6.99</f>
        <v>3473500</v>
      </c>
      <c r="G72" s="299">
        <f t="shared" ref="G72:G78" si="24">$G$335</f>
        <v>1.1279999999999999</v>
      </c>
      <c r="H72" s="339">
        <f t="shared" si="20"/>
        <v>3918108</v>
      </c>
      <c r="I72" s="299">
        <f>Дефляторы!$D$27</f>
        <v>1.0509999999999999</v>
      </c>
      <c r="J72" s="339">
        <f>H72*I72</f>
        <v>4117932</v>
      </c>
      <c r="K72" s="339">
        <f t="shared" ref="K72:K85" si="25">H72+(J72-H72)*(1-30/100)</f>
        <v>4057985</v>
      </c>
      <c r="L72" s="372"/>
      <c r="M72" s="372"/>
      <c r="N72" s="372"/>
    </row>
    <row r="73" spans="1:14" s="373" customFormat="1" ht="15.75" hidden="1" outlineLevel="2" x14ac:dyDescent="0.2">
      <c r="A73" s="208" t="s">
        <v>284</v>
      </c>
      <c r="B73" s="100" t="s">
        <v>1229</v>
      </c>
      <c r="C73" s="100" t="s">
        <v>340</v>
      </c>
      <c r="D73" s="157" t="s">
        <v>262</v>
      </c>
      <c r="E73" s="277">
        <v>2432</v>
      </c>
      <c r="F73" s="277">
        <f>2432/6243*(68858+88564)*(1.023*1.005-2.3%*15%)*6.99</f>
        <v>439233</v>
      </c>
      <c r="G73" s="299">
        <f t="shared" si="24"/>
        <v>1.1279999999999999</v>
      </c>
      <c r="H73" s="339">
        <f t="shared" si="20"/>
        <v>495455</v>
      </c>
      <c r="I73" s="299">
        <f>Дефляторы!$D$27</f>
        <v>1.0509999999999999</v>
      </c>
      <c r="J73" s="339">
        <f t="shared" ref="J73:J85" si="26">H73*I73</f>
        <v>520723</v>
      </c>
      <c r="K73" s="339">
        <f t="shared" si="25"/>
        <v>513143</v>
      </c>
      <c r="L73" s="372"/>
      <c r="M73" s="372"/>
      <c r="N73" s="372"/>
    </row>
    <row r="74" spans="1:14" s="379" customFormat="1" ht="25.5" hidden="1" outlineLevel="2" x14ac:dyDescent="0.2">
      <c r="A74" s="312" t="s">
        <v>285</v>
      </c>
      <c r="B74" s="171" t="s">
        <v>1230</v>
      </c>
      <c r="C74" s="171" t="s">
        <v>1231</v>
      </c>
      <c r="D74" s="316" t="s">
        <v>262</v>
      </c>
      <c r="E74" s="313">
        <f>312.2*2432/6243-0.1</f>
        <v>121.5</v>
      </c>
      <c r="F74" s="170">
        <f>2432/6243*(20383+3443)*(1.023*1.005-2.3%*15%)*6.99+2</f>
        <v>66480</v>
      </c>
      <c r="G74" s="376">
        <f t="shared" si="24"/>
        <v>1.1279999999999999</v>
      </c>
      <c r="H74" s="377">
        <f t="shared" si="20"/>
        <v>74989</v>
      </c>
      <c r="I74" s="376">
        <f>Дефляторы!$D$27</f>
        <v>1.0509999999999999</v>
      </c>
      <c r="J74" s="377">
        <f t="shared" si="26"/>
        <v>78813</v>
      </c>
      <c r="K74" s="377">
        <f t="shared" si="25"/>
        <v>77666</v>
      </c>
      <c r="L74" s="378" t="s">
        <v>1232</v>
      </c>
      <c r="M74" s="378"/>
      <c r="N74" s="378"/>
    </row>
    <row r="75" spans="1:14" s="379" customFormat="1" ht="15.75" hidden="1" outlineLevel="2" x14ac:dyDescent="0.2">
      <c r="A75" s="312" t="s">
        <v>286</v>
      </c>
      <c r="B75" s="171" t="s">
        <v>1222</v>
      </c>
      <c r="C75" s="171" t="s">
        <v>1223</v>
      </c>
      <c r="D75" s="316" t="s">
        <v>262</v>
      </c>
      <c r="E75" s="313">
        <f>312.2*2432/6243-0.1</f>
        <v>121.5</v>
      </c>
      <c r="F75" s="170">
        <f>2432/6243*(9563)*(1.023*1.005-2.3%*15%)*6.99</f>
        <v>26682</v>
      </c>
      <c r="G75" s="376">
        <f t="shared" si="24"/>
        <v>1.1279999999999999</v>
      </c>
      <c r="H75" s="377">
        <f t="shared" si="20"/>
        <v>30097</v>
      </c>
      <c r="I75" s="376">
        <f>Дефляторы!$D$27</f>
        <v>1.0509999999999999</v>
      </c>
      <c r="J75" s="377">
        <f t="shared" si="26"/>
        <v>31632</v>
      </c>
      <c r="K75" s="377">
        <f t="shared" si="25"/>
        <v>31172</v>
      </c>
      <c r="L75" s="378" t="s">
        <v>1232</v>
      </c>
      <c r="M75" s="378"/>
      <c r="N75" s="378"/>
    </row>
    <row r="76" spans="1:14" s="373" customFormat="1" ht="15.75" hidden="1" outlineLevel="2" x14ac:dyDescent="0.2">
      <c r="A76" s="208" t="s">
        <v>287</v>
      </c>
      <c r="B76" s="100" t="s">
        <v>1221</v>
      </c>
      <c r="C76" s="100" t="s">
        <v>343</v>
      </c>
      <c r="D76" s="157" t="s">
        <v>262</v>
      </c>
      <c r="E76" s="277">
        <v>2333</v>
      </c>
      <c r="F76" s="277">
        <f>2333/5865*(20459+14414+61608)*(1.023*1.005-2.3%*15%)*6.99</f>
        <v>274883</v>
      </c>
      <c r="G76" s="299">
        <f t="shared" si="24"/>
        <v>1.1279999999999999</v>
      </c>
      <c r="H76" s="339">
        <f t="shared" si="20"/>
        <v>310068</v>
      </c>
      <c r="I76" s="299">
        <f>Дефляторы!$D$27</f>
        <v>1.0509999999999999</v>
      </c>
      <c r="J76" s="339">
        <f t="shared" si="26"/>
        <v>325881</v>
      </c>
      <c r="K76" s="339">
        <f t="shared" si="25"/>
        <v>321137</v>
      </c>
      <c r="L76" s="372" t="s">
        <v>344</v>
      </c>
      <c r="M76" s="372"/>
      <c r="N76" s="372"/>
    </row>
    <row r="77" spans="1:14" s="373" customFormat="1" ht="15.75" hidden="1" outlineLevel="2" x14ac:dyDescent="0.2">
      <c r="A77" s="208" t="s">
        <v>288</v>
      </c>
      <c r="B77" s="100" t="s">
        <v>756</v>
      </c>
      <c r="C77" s="100" t="s">
        <v>981</v>
      </c>
      <c r="D77" s="157" t="s">
        <v>305</v>
      </c>
      <c r="E77" s="277">
        <v>1</v>
      </c>
      <c r="F77" s="277">
        <f>81286*(1.023*1.005-2.3%*15%)*6.99</f>
        <v>582204</v>
      </c>
      <c r="G77" s="299">
        <f t="shared" si="24"/>
        <v>1.1279999999999999</v>
      </c>
      <c r="H77" s="339">
        <f t="shared" si="20"/>
        <v>656726</v>
      </c>
      <c r="I77" s="299">
        <f>Дефляторы!$D$27</f>
        <v>1.0509999999999999</v>
      </c>
      <c r="J77" s="339">
        <f t="shared" si="26"/>
        <v>690219</v>
      </c>
      <c r="K77" s="339">
        <f t="shared" si="25"/>
        <v>680171</v>
      </c>
      <c r="L77" s="372"/>
      <c r="M77" s="372"/>
      <c r="N77" s="372"/>
    </row>
    <row r="78" spans="1:14" s="373" customFormat="1" ht="15.75" hidden="1" outlineLevel="2" x14ac:dyDescent="0.2">
      <c r="A78" s="208" t="s">
        <v>289</v>
      </c>
      <c r="B78" s="100" t="s">
        <v>496</v>
      </c>
      <c r="C78" s="100" t="s">
        <v>983</v>
      </c>
      <c r="D78" s="157" t="s">
        <v>283</v>
      </c>
      <c r="E78" s="277">
        <v>1</v>
      </c>
      <c r="F78" s="277">
        <f>209216*(1.023*1.005-2.3%*15%)*6.99+29</f>
        <v>1498519</v>
      </c>
      <c r="G78" s="299">
        <f t="shared" si="24"/>
        <v>1.1279999999999999</v>
      </c>
      <c r="H78" s="339">
        <f t="shared" si="20"/>
        <v>1690329</v>
      </c>
      <c r="I78" s="299">
        <f>Дефляторы!$D$27</f>
        <v>1.0509999999999999</v>
      </c>
      <c r="J78" s="339">
        <f t="shared" si="26"/>
        <v>1776536</v>
      </c>
      <c r="K78" s="339">
        <f t="shared" si="25"/>
        <v>1750674</v>
      </c>
      <c r="L78" s="372" t="s">
        <v>497</v>
      </c>
      <c r="M78" s="372"/>
      <c r="N78" s="372"/>
    </row>
    <row r="79" spans="1:14" s="373" customFormat="1" ht="15.75" hidden="1" outlineLevel="2" x14ac:dyDescent="0.2">
      <c r="A79" s="208"/>
      <c r="B79" s="100"/>
      <c r="C79" s="267" t="s">
        <v>498</v>
      </c>
      <c r="D79" s="317"/>
      <c r="E79" s="277"/>
      <c r="F79" s="277"/>
      <c r="G79" s="299"/>
      <c r="H79" s="339"/>
      <c r="I79" s="299">
        <f>Дефляторы!$D$27</f>
        <v>1.0509999999999999</v>
      </c>
      <c r="J79" s="339">
        <f t="shared" si="26"/>
        <v>0</v>
      </c>
      <c r="K79" s="339"/>
      <c r="L79" s="372"/>
      <c r="M79" s="372"/>
      <c r="N79" s="372"/>
    </row>
    <row r="80" spans="1:14" s="373" customFormat="1" ht="25.5" hidden="1" outlineLevel="2" x14ac:dyDescent="0.2">
      <c r="A80" s="208" t="s">
        <v>290</v>
      </c>
      <c r="B80" s="100" t="s">
        <v>499</v>
      </c>
      <c r="C80" s="100" t="s">
        <v>265</v>
      </c>
      <c r="D80" s="317" t="s">
        <v>262</v>
      </c>
      <c r="E80" s="382">
        <f>139.5</f>
        <v>139.5</v>
      </c>
      <c r="F80" s="277">
        <f>27818*(1.023*1.005-2.3%*15%)*6.99+37</f>
        <v>199281</v>
      </c>
      <c r="G80" s="299">
        <f t="shared" ref="G80:G86" si="27">$G$335</f>
        <v>1.1279999999999999</v>
      </c>
      <c r="H80" s="339">
        <f t="shared" si="20"/>
        <v>224789</v>
      </c>
      <c r="I80" s="299">
        <f>Дефляторы!$D$27</f>
        <v>1.0509999999999999</v>
      </c>
      <c r="J80" s="339">
        <f t="shared" si="26"/>
        <v>236253</v>
      </c>
      <c r="K80" s="339">
        <f t="shared" si="25"/>
        <v>232814</v>
      </c>
      <c r="L80" s="372"/>
      <c r="M80" s="372"/>
      <c r="N80" s="372"/>
    </row>
    <row r="81" spans="1:14" s="373" customFormat="1" ht="15.75" hidden="1" outlineLevel="2" x14ac:dyDescent="0.2">
      <c r="A81" s="208" t="s">
        <v>291</v>
      </c>
      <c r="B81" s="100" t="s">
        <v>502</v>
      </c>
      <c r="C81" s="100" t="s">
        <v>500</v>
      </c>
      <c r="D81" s="317" t="s">
        <v>262</v>
      </c>
      <c r="E81" s="382">
        <f>84.5</f>
        <v>84.5</v>
      </c>
      <c r="F81" s="277">
        <f>1113*(1.023*1.005-2.3%*15%)*6.99</f>
        <v>7972</v>
      </c>
      <c r="G81" s="299">
        <f t="shared" si="27"/>
        <v>1.1279999999999999</v>
      </c>
      <c r="H81" s="339">
        <f t="shared" si="20"/>
        <v>8992</v>
      </c>
      <c r="I81" s="299">
        <f>Дефляторы!$D$27</f>
        <v>1.0509999999999999</v>
      </c>
      <c r="J81" s="339">
        <f t="shared" si="26"/>
        <v>9451</v>
      </c>
      <c r="K81" s="339">
        <f t="shared" si="25"/>
        <v>9313</v>
      </c>
      <c r="L81" s="372"/>
      <c r="M81" s="372"/>
      <c r="N81" s="372"/>
    </row>
    <row r="82" spans="1:14" s="373" customFormat="1" ht="25.5" hidden="1" outlineLevel="2" x14ac:dyDescent="0.2">
      <c r="A82" s="208" t="s">
        <v>1039</v>
      </c>
      <c r="B82" s="100" t="s">
        <v>503</v>
      </c>
      <c r="C82" s="100" t="s">
        <v>501</v>
      </c>
      <c r="D82" s="317" t="s">
        <v>262</v>
      </c>
      <c r="E82" s="277">
        <v>55</v>
      </c>
      <c r="F82" s="277">
        <f>(902+495+102)*(1.023*1.005-2.3%*15%)*6.99</f>
        <v>10736</v>
      </c>
      <c r="G82" s="299">
        <f t="shared" si="27"/>
        <v>1.1279999999999999</v>
      </c>
      <c r="H82" s="339">
        <f t="shared" si="20"/>
        <v>12110</v>
      </c>
      <c r="I82" s="299">
        <f>Дефляторы!$D$27</f>
        <v>1.0509999999999999</v>
      </c>
      <c r="J82" s="339">
        <f t="shared" si="26"/>
        <v>12728</v>
      </c>
      <c r="K82" s="339">
        <f t="shared" si="25"/>
        <v>12543</v>
      </c>
      <c r="L82" s="372"/>
      <c r="M82" s="372"/>
      <c r="N82" s="372"/>
    </row>
    <row r="83" spans="1:14" s="373" customFormat="1" ht="15.75" hidden="1" outlineLevel="2" x14ac:dyDescent="0.2">
      <c r="A83" s="208" t="s">
        <v>1040</v>
      </c>
      <c r="B83" s="100" t="s">
        <v>504</v>
      </c>
      <c r="C83" s="100" t="s">
        <v>343</v>
      </c>
      <c r="D83" s="317" t="s">
        <v>262</v>
      </c>
      <c r="E83" s="382">
        <f>84.5</f>
        <v>84.5</v>
      </c>
      <c r="F83" s="277">
        <f>(256+127+888)*(1.023*1.005-2.3%*15%)*6.99</f>
        <v>9103</v>
      </c>
      <c r="G83" s="299">
        <f t="shared" si="27"/>
        <v>1.1279999999999999</v>
      </c>
      <c r="H83" s="339">
        <f t="shared" si="20"/>
        <v>10268</v>
      </c>
      <c r="I83" s="299">
        <f>Дефляторы!$D$27</f>
        <v>1.0509999999999999</v>
      </c>
      <c r="J83" s="339">
        <f t="shared" si="26"/>
        <v>10792</v>
      </c>
      <c r="K83" s="339">
        <f t="shared" si="25"/>
        <v>10635</v>
      </c>
      <c r="L83" s="372"/>
      <c r="M83" s="372"/>
      <c r="N83" s="372"/>
    </row>
    <row r="84" spans="1:14" s="373" customFormat="1" ht="15.75" hidden="1" outlineLevel="2" x14ac:dyDescent="0.2">
      <c r="A84" s="208" t="s">
        <v>1339</v>
      </c>
      <c r="B84" s="100" t="s">
        <v>507</v>
      </c>
      <c r="C84" s="100" t="s">
        <v>980</v>
      </c>
      <c r="D84" s="317" t="s">
        <v>283</v>
      </c>
      <c r="E84" s="277">
        <v>1</v>
      </c>
      <c r="F84" s="277">
        <f>81939*(1.023*1.005-2.3%*15%)*6.99</f>
        <v>586881</v>
      </c>
      <c r="G84" s="299">
        <f t="shared" si="27"/>
        <v>1.1279999999999999</v>
      </c>
      <c r="H84" s="339">
        <f t="shared" si="20"/>
        <v>662002</v>
      </c>
      <c r="I84" s="299">
        <f>Дефляторы!$D$27</f>
        <v>1.0509999999999999</v>
      </c>
      <c r="J84" s="339">
        <f t="shared" si="26"/>
        <v>695764</v>
      </c>
      <c r="K84" s="339">
        <f t="shared" si="25"/>
        <v>685635</v>
      </c>
      <c r="L84" s="372" t="s">
        <v>506</v>
      </c>
      <c r="M84" s="372"/>
      <c r="N84" s="372"/>
    </row>
    <row r="85" spans="1:14" s="373" customFormat="1" ht="15.75" hidden="1" outlineLevel="2" x14ac:dyDescent="0.2">
      <c r="A85" s="208" t="s">
        <v>1340</v>
      </c>
      <c r="B85" s="100" t="s">
        <v>509</v>
      </c>
      <c r="C85" s="100" t="s">
        <v>979</v>
      </c>
      <c r="D85" s="317" t="s">
        <v>271</v>
      </c>
      <c r="E85" s="382">
        <f>39.1</f>
        <v>39.1</v>
      </c>
      <c r="F85" s="277">
        <f>4139*(1.023*1.005-2.3%*15%)*6.99</f>
        <v>29645</v>
      </c>
      <c r="G85" s="299">
        <f t="shared" si="27"/>
        <v>1.1279999999999999</v>
      </c>
      <c r="H85" s="339">
        <f t="shared" si="20"/>
        <v>33440</v>
      </c>
      <c r="I85" s="299">
        <f>Дефляторы!$D$27</f>
        <v>1.0509999999999999</v>
      </c>
      <c r="J85" s="339">
        <f t="shared" si="26"/>
        <v>35145</v>
      </c>
      <c r="K85" s="339">
        <f t="shared" si="25"/>
        <v>34634</v>
      </c>
      <c r="L85" s="372"/>
      <c r="M85" s="372"/>
      <c r="N85" s="372"/>
    </row>
    <row r="86" spans="1:14" s="362" customFormat="1" ht="15.75" outlineLevel="1" collapsed="1" x14ac:dyDescent="0.2">
      <c r="A86" s="282" t="s">
        <v>292</v>
      </c>
      <c r="B86" s="283"/>
      <c r="C86" s="283" t="s">
        <v>1013</v>
      </c>
      <c r="D86" s="359" t="s">
        <v>250</v>
      </c>
      <c r="E86" s="154">
        <v>1</v>
      </c>
      <c r="F86" s="154">
        <f>SUM(F87:F114)</f>
        <v>15802890</v>
      </c>
      <c r="G86" s="296">
        <f t="shared" si="27"/>
        <v>1.1279999999999999</v>
      </c>
      <c r="H86" s="337">
        <f>SUM(H87:H114)</f>
        <v>17825660</v>
      </c>
      <c r="I86" s="296">
        <f>Дефляторы!$D$27</f>
        <v>1.0509999999999999</v>
      </c>
      <c r="J86" s="337">
        <f>SUM(J87:J114)</f>
        <v>18734767</v>
      </c>
      <c r="K86" s="337">
        <f>SUM(K87:K114)</f>
        <v>18462037</v>
      </c>
      <c r="L86" s="360"/>
      <c r="M86" s="360"/>
      <c r="N86" s="360"/>
    </row>
    <row r="87" spans="1:14" s="373" customFormat="1" ht="15.75" hidden="1" outlineLevel="2" x14ac:dyDescent="0.2">
      <c r="A87" s="208"/>
      <c r="B87" s="100"/>
      <c r="C87" s="267" t="s">
        <v>316</v>
      </c>
      <c r="D87" s="157"/>
      <c r="E87" s="277"/>
      <c r="F87" s="277"/>
      <c r="G87" s="299"/>
      <c r="H87" s="339"/>
      <c r="I87" s="299">
        <f>Дефляторы!$D$27</f>
        <v>1.0509999999999999</v>
      </c>
      <c r="J87" s="339"/>
      <c r="K87" s="339"/>
      <c r="L87" s="372"/>
      <c r="M87" s="372"/>
      <c r="N87" s="372"/>
    </row>
    <row r="88" spans="1:14" s="373" customFormat="1" ht="15.75" hidden="1" outlineLevel="2" x14ac:dyDescent="0.2">
      <c r="A88" s="208" t="s">
        <v>897</v>
      </c>
      <c r="B88" s="100" t="s">
        <v>318</v>
      </c>
      <c r="C88" s="100" t="s">
        <v>317</v>
      </c>
      <c r="D88" s="157" t="s">
        <v>305</v>
      </c>
      <c r="E88" s="277">
        <v>1</v>
      </c>
      <c r="F88" s="277">
        <f>91786*(1.023*1.005-2.3%*15%)*6.99</f>
        <v>657409</v>
      </c>
      <c r="G88" s="299">
        <f>$G$335</f>
        <v>1.1279999999999999</v>
      </c>
      <c r="H88" s="339">
        <f t="shared" si="20"/>
        <v>741557</v>
      </c>
      <c r="I88" s="299">
        <f>Дефляторы!$D$27</f>
        <v>1.0509999999999999</v>
      </c>
      <c r="J88" s="339">
        <f t="shared" ref="J88:J147" si="28">H88*I88</f>
        <v>779376</v>
      </c>
      <c r="K88" s="339">
        <f t="shared" ref="K88:K147" si="29">H88+(J88-H88)*(1-30/100)</f>
        <v>768030</v>
      </c>
      <c r="L88" s="372"/>
      <c r="M88" s="277">
        <v>11414</v>
      </c>
      <c r="N88" s="374">
        <f>E88*M88</f>
        <v>11414</v>
      </c>
    </row>
    <row r="89" spans="1:14" s="373" customFormat="1" ht="47.25" hidden="1" customHeight="1" outlineLevel="2" x14ac:dyDescent="0.2">
      <c r="A89" s="208" t="s">
        <v>905</v>
      </c>
      <c r="B89" s="100" t="s">
        <v>321</v>
      </c>
      <c r="C89" s="100" t="s">
        <v>322</v>
      </c>
      <c r="D89" s="157" t="s">
        <v>305</v>
      </c>
      <c r="E89" s="277">
        <v>1</v>
      </c>
      <c r="F89" s="277">
        <f>7340*(1.023*1.005-2.3%*15%)*6.99</f>
        <v>52572</v>
      </c>
      <c r="G89" s="299">
        <f>$G$335</f>
        <v>1.1279999999999999</v>
      </c>
      <c r="H89" s="339">
        <f t="shared" si="20"/>
        <v>59301</v>
      </c>
      <c r="I89" s="299">
        <f>Дефляторы!$D$27</f>
        <v>1.0509999999999999</v>
      </c>
      <c r="J89" s="339">
        <f t="shared" si="28"/>
        <v>62325</v>
      </c>
      <c r="K89" s="339">
        <f t="shared" si="29"/>
        <v>61418</v>
      </c>
      <c r="L89" s="375" t="s">
        <v>1329</v>
      </c>
      <c r="M89" s="372">
        <v>7845</v>
      </c>
      <c r="N89" s="372">
        <f>E89*M89</f>
        <v>7845</v>
      </c>
    </row>
    <row r="90" spans="1:14" s="373" customFormat="1" ht="15.75" hidden="1" outlineLevel="2" x14ac:dyDescent="0.2">
      <c r="A90" s="208"/>
      <c r="B90" s="100"/>
      <c r="C90" s="267" t="s">
        <v>1007</v>
      </c>
      <c r="D90" s="157"/>
      <c r="E90" s="277"/>
      <c r="F90" s="277"/>
      <c r="G90" s="299"/>
      <c r="H90" s="339"/>
      <c r="I90" s="299">
        <f>Дефляторы!$D$27</f>
        <v>1.0509999999999999</v>
      </c>
      <c r="J90" s="339">
        <f t="shared" si="28"/>
        <v>0</v>
      </c>
      <c r="K90" s="339">
        <f t="shared" si="29"/>
        <v>0</v>
      </c>
      <c r="L90" s="372"/>
      <c r="M90" s="372"/>
      <c r="N90" s="372"/>
    </row>
    <row r="91" spans="1:14" s="373" customFormat="1" ht="15.75" hidden="1" outlineLevel="2" x14ac:dyDescent="0.2">
      <c r="A91" s="208" t="s">
        <v>1041</v>
      </c>
      <c r="B91" s="100" t="s">
        <v>480</v>
      </c>
      <c r="C91" s="100" t="s">
        <v>1014</v>
      </c>
      <c r="D91" s="157" t="s">
        <v>250</v>
      </c>
      <c r="E91" s="277">
        <v>1</v>
      </c>
      <c r="F91" s="277">
        <f>4996*(1.023*1.005-2.3%*15%)*6.99+5986*4.09</f>
        <v>60266</v>
      </c>
      <c r="G91" s="299">
        <f>$G$335</f>
        <v>1.1279999999999999</v>
      </c>
      <c r="H91" s="339">
        <f t="shared" si="20"/>
        <v>67980</v>
      </c>
      <c r="I91" s="299">
        <f>Дефляторы!$D$27</f>
        <v>1.0509999999999999</v>
      </c>
      <c r="J91" s="339">
        <f t="shared" si="28"/>
        <v>71447</v>
      </c>
      <c r="K91" s="339">
        <f t="shared" si="29"/>
        <v>70407</v>
      </c>
      <c r="L91" s="372"/>
      <c r="M91" s="372"/>
      <c r="N91" s="372"/>
    </row>
    <row r="92" spans="1:14" s="373" customFormat="1" ht="15.75" hidden="1" outlineLevel="2" x14ac:dyDescent="0.2">
      <c r="A92" s="208" t="s">
        <v>1042</v>
      </c>
      <c r="B92" s="100" t="s">
        <v>482</v>
      </c>
      <c r="C92" s="100" t="s">
        <v>1015</v>
      </c>
      <c r="D92" s="157" t="s">
        <v>250</v>
      </c>
      <c r="E92" s="277">
        <v>1</v>
      </c>
      <c r="F92" s="277">
        <f>1564*(1.023*1.005-2.3%*15%)*6.99+28*4.09</f>
        <v>11317</v>
      </c>
      <c r="G92" s="299">
        <f>$G$335</f>
        <v>1.1279999999999999</v>
      </c>
      <c r="H92" s="339">
        <f t="shared" si="20"/>
        <v>12766</v>
      </c>
      <c r="I92" s="299">
        <f>Дефляторы!$D$27</f>
        <v>1.0509999999999999</v>
      </c>
      <c r="J92" s="339">
        <f t="shared" si="28"/>
        <v>13417</v>
      </c>
      <c r="K92" s="339">
        <f t="shared" si="29"/>
        <v>13222</v>
      </c>
      <c r="L92" s="372"/>
      <c r="M92" s="372"/>
      <c r="N92" s="372"/>
    </row>
    <row r="93" spans="1:14" s="373" customFormat="1" ht="15.75" hidden="1" outlineLevel="2" x14ac:dyDescent="0.2">
      <c r="A93" s="208" t="s">
        <v>1043</v>
      </c>
      <c r="B93" s="100" t="s">
        <v>484</v>
      </c>
      <c r="C93" s="100" t="s">
        <v>1016</v>
      </c>
      <c r="D93" s="157" t="s">
        <v>250</v>
      </c>
      <c r="E93" s="277">
        <v>1</v>
      </c>
      <c r="F93" s="277">
        <f>6443*(1.023*1.005-2.3%*15%)*6.99+78078*4.09-30</f>
        <v>365456</v>
      </c>
      <c r="G93" s="299">
        <f>$G$335</f>
        <v>1.1279999999999999</v>
      </c>
      <c r="H93" s="339">
        <f t="shared" si="20"/>
        <v>412234</v>
      </c>
      <c r="I93" s="299">
        <f>Дефляторы!$D$27</f>
        <v>1.0509999999999999</v>
      </c>
      <c r="J93" s="339">
        <f t="shared" si="28"/>
        <v>433258</v>
      </c>
      <c r="K93" s="339">
        <f t="shared" si="29"/>
        <v>426951</v>
      </c>
      <c r="L93" s="372"/>
      <c r="M93" s="372"/>
      <c r="N93" s="372"/>
    </row>
    <row r="94" spans="1:14" s="373" customFormat="1" ht="15.75" hidden="1" outlineLevel="2" x14ac:dyDescent="0.2">
      <c r="A94" s="208"/>
      <c r="B94" s="100"/>
      <c r="C94" s="267" t="s">
        <v>1008</v>
      </c>
      <c r="D94" s="157"/>
      <c r="E94" s="277"/>
      <c r="F94" s="277"/>
      <c r="G94" s="299"/>
      <c r="H94" s="339"/>
      <c r="I94" s="299">
        <f>Дефляторы!$D$27</f>
        <v>1.0509999999999999</v>
      </c>
      <c r="J94" s="339">
        <f t="shared" si="28"/>
        <v>0</v>
      </c>
      <c r="K94" s="339">
        <f t="shared" si="29"/>
        <v>0</v>
      </c>
      <c r="L94" s="372"/>
      <c r="M94" s="372"/>
      <c r="N94" s="372"/>
    </row>
    <row r="95" spans="1:14" s="373" customFormat="1" ht="25.5" hidden="1" outlineLevel="2" x14ac:dyDescent="0.2">
      <c r="A95" s="208" t="s">
        <v>1044</v>
      </c>
      <c r="B95" s="100" t="s">
        <v>486</v>
      </c>
      <c r="C95" s="100" t="s">
        <v>1017</v>
      </c>
      <c r="D95" s="157" t="s">
        <v>250</v>
      </c>
      <c r="E95" s="277">
        <v>1</v>
      </c>
      <c r="F95" s="277">
        <f>20530*(1.023*1.005-2.3%*15%)*6.99+242680*4.09</f>
        <v>1139605</v>
      </c>
      <c r="G95" s="299">
        <f>$G$335</f>
        <v>1.1279999999999999</v>
      </c>
      <c r="H95" s="339">
        <f t="shared" si="20"/>
        <v>1285474</v>
      </c>
      <c r="I95" s="299">
        <f>Дефляторы!$D$27</f>
        <v>1.0509999999999999</v>
      </c>
      <c r="J95" s="339">
        <f t="shared" si="28"/>
        <v>1351033</v>
      </c>
      <c r="K95" s="339">
        <f t="shared" si="29"/>
        <v>1331365</v>
      </c>
      <c r="L95" s="372"/>
      <c r="M95" s="372"/>
      <c r="N95" s="372"/>
    </row>
    <row r="96" spans="1:14" s="373" customFormat="1" ht="15.75" hidden="1" outlineLevel="2" x14ac:dyDescent="0.2">
      <c r="A96" s="208" t="s">
        <v>1045</v>
      </c>
      <c r="B96" s="100" t="s">
        <v>488</v>
      </c>
      <c r="C96" s="100" t="s">
        <v>1018</v>
      </c>
      <c r="D96" s="157" t="s">
        <v>250</v>
      </c>
      <c r="E96" s="277">
        <v>1</v>
      </c>
      <c r="F96" s="277">
        <f>2587*(1.023*1.005-2.3%*15%)*6.99+66296*4.09</f>
        <v>289680</v>
      </c>
      <c r="G96" s="299">
        <f>$G$335</f>
        <v>1.1279999999999999</v>
      </c>
      <c r="H96" s="339">
        <f t="shared" si="20"/>
        <v>326759</v>
      </c>
      <c r="I96" s="299">
        <f>Дефляторы!$D$27</f>
        <v>1.0509999999999999</v>
      </c>
      <c r="J96" s="339">
        <f t="shared" si="28"/>
        <v>343424</v>
      </c>
      <c r="K96" s="339">
        <f t="shared" si="29"/>
        <v>338425</v>
      </c>
      <c r="L96" s="372"/>
      <c r="M96" s="372"/>
      <c r="N96" s="372"/>
    </row>
    <row r="97" spans="1:14" s="373" customFormat="1" ht="15.75" hidden="1" outlineLevel="2" x14ac:dyDescent="0.2">
      <c r="A97" s="208" t="s">
        <v>1046</v>
      </c>
      <c r="B97" s="100" t="s">
        <v>490</v>
      </c>
      <c r="C97" s="100" t="s">
        <v>1019</v>
      </c>
      <c r="D97" s="157" t="s">
        <v>250</v>
      </c>
      <c r="E97" s="277">
        <v>1</v>
      </c>
      <c r="F97" s="277">
        <f>8833*(1.023*1.005-2.3%*15%)*6.99+1413361*4.09-20</f>
        <v>5843892</v>
      </c>
      <c r="G97" s="299">
        <f>$G$335</f>
        <v>1.1279999999999999</v>
      </c>
      <c r="H97" s="339">
        <f t="shared" si="20"/>
        <v>6591910</v>
      </c>
      <c r="I97" s="299">
        <f>Дефляторы!$D$27</f>
        <v>1.0509999999999999</v>
      </c>
      <c r="J97" s="339">
        <f t="shared" si="28"/>
        <v>6928097</v>
      </c>
      <c r="K97" s="339">
        <f t="shared" si="29"/>
        <v>6827241</v>
      </c>
      <c r="L97" s="372"/>
      <c r="M97" s="372"/>
      <c r="N97" s="372"/>
    </row>
    <row r="98" spans="1:14" s="373" customFormat="1" ht="15.75" hidden="1" outlineLevel="2" x14ac:dyDescent="0.2">
      <c r="A98" s="208"/>
      <c r="B98" s="100"/>
      <c r="C98" s="267" t="s">
        <v>1009</v>
      </c>
      <c r="D98" s="157"/>
      <c r="E98" s="277"/>
      <c r="F98" s="277"/>
      <c r="G98" s="299"/>
      <c r="H98" s="339"/>
      <c r="I98" s="299">
        <f>Дефляторы!$D$27</f>
        <v>1.0509999999999999</v>
      </c>
      <c r="J98" s="339">
        <f t="shared" si="28"/>
        <v>0</v>
      </c>
      <c r="K98" s="339">
        <f t="shared" si="29"/>
        <v>0</v>
      </c>
      <c r="L98" s="372"/>
      <c r="M98" s="372"/>
      <c r="N98" s="372"/>
    </row>
    <row r="99" spans="1:14" s="373" customFormat="1" ht="15.75" hidden="1" outlineLevel="2" x14ac:dyDescent="0.2">
      <c r="A99" s="208" t="s">
        <v>1047</v>
      </c>
      <c r="B99" s="100" t="s">
        <v>492</v>
      </c>
      <c r="C99" s="100" t="s">
        <v>1010</v>
      </c>
      <c r="D99" s="157" t="s">
        <v>250</v>
      </c>
      <c r="E99" s="277">
        <v>1</v>
      </c>
      <c r="F99" s="277">
        <f>12680*(1.023*1.005-2.3%*15%)*6.99+291851*4.09-14</f>
        <v>1284476</v>
      </c>
      <c r="G99" s="299">
        <f>$G$335</f>
        <v>1.1279999999999999</v>
      </c>
      <c r="H99" s="339">
        <f t="shared" si="20"/>
        <v>1448889</v>
      </c>
      <c r="I99" s="299">
        <f>Дефляторы!$D$27</f>
        <v>1.0509999999999999</v>
      </c>
      <c r="J99" s="339">
        <f t="shared" si="28"/>
        <v>1522782</v>
      </c>
      <c r="K99" s="339">
        <f t="shared" si="29"/>
        <v>1500614</v>
      </c>
      <c r="L99" s="372"/>
      <c r="M99" s="372"/>
      <c r="N99" s="372"/>
    </row>
    <row r="100" spans="1:14" s="373" customFormat="1" ht="15.75" hidden="1" outlineLevel="2" x14ac:dyDescent="0.2">
      <c r="A100" s="208" t="s">
        <v>1048</v>
      </c>
      <c r="B100" s="100" t="s">
        <v>494</v>
      </c>
      <c r="C100" s="100" t="s">
        <v>1011</v>
      </c>
      <c r="D100" s="157" t="s">
        <v>250</v>
      </c>
      <c r="E100" s="277">
        <v>1</v>
      </c>
      <c r="F100" s="277">
        <f>353*(1.023*1.005-2.3%*15%)*6.99+747*4.09</f>
        <v>5584</v>
      </c>
      <c r="G100" s="299">
        <f>$G$335</f>
        <v>1.1279999999999999</v>
      </c>
      <c r="H100" s="339">
        <f t="shared" si="20"/>
        <v>6299</v>
      </c>
      <c r="I100" s="299">
        <f>Дефляторы!$D$27</f>
        <v>1.0509999999999999</v>
      </c>
      <c r="J100" s="339">
        <f t="shared" si="28"/>
        <v>6620</v>
      </c>
      <c r="K100" s="339">
        <f t="shared" si="29"/>
        <v>6524</v>
      </c>
      <c r="L100" s="372"/>
      <c r="M100" s="372"/>
      <c r="N100" s="372"/>
    </row>
    <row r="101" spans="1:14" s="373" customFormat="1" ht="25.5" hidden="1" outlineLevel="2" x14ac:dyDescent="0.2">
      <c r="A101" s="208"/>
      <c r="B101" s="100"/>
      <c r="C101" s="267" t="s">
        <v>1021</v>
      </c>
      <c r="D101" s="157"/>
      <c r="E101" s="277"/>
      <c r="F101" s="277"/>
      <c r="G101" s="299"/>
      <c r="H101" s="339"/>
      <c r="I101" s="299">
        <f>Дефляторы!$D$27</f>
        <v>1.0509999999999999</v>
      </c>
      <c r="J101" s="339">
        <f t="shared" si="28"/>
        <v>0</v>
      </c>
      <c r="K101" s="339">
        <f t="shared" si="29"/>
        <v>0</v>
      </c>
      <c r="L101" s="372"/>
      <c r="M101" s="372"/>
      <c r="N101" s="372"/>
    </row>
    <row r="102" spans="1:14" s="373" customFormat="1" ht="15.75" hidden="1" outlineLevel="2" x14ac:dyDescent="0.2">
      <c r="A102" s="208" t="s">
        <v>1049</v>
      </c>
      <c r="B102" s="100" t="s">
        <v>665</v>
      </c>
      <c r="C102" s="100" t="s">
        <v>664</v>
      </c>
      <c r="D102" s="157" t="s">
        <v>271</v>
      </c>
      <c r="E102" s="277">
        <v>1202</v>
      </c>
      <c r="F102" s="277">
        <f>(3812+421)*(1.023*1.005-2.3%*15%)*6.99</f>
        <v>30318</v>
      </c>
      <c r="G102" s="299">
        <f>$G$335</f>
        <v>1.1279999999999999</v>
      </c>
      <c r="H102" s="339">
        <f t="shared" si="20"/>
        <v>34199</v>
      </c>
      <c r="I102" s="299">
        <f>Дефляторы!$D$27</f>
        <v>1.0509999999999999</v>
      </c>
      <c r="J102" s="339">
        <f t="shared" si="28"/>
        <v>35943</v>
      </c>
      <c r="K102" s="339">
        <f t="shared" si="29"/>
        <v>35420</v>
      </c>
      <c r="L102" s="372"/>
      <c r="M102" s="372"/>
      <c r="N102" s="372"/>
    </row>
    <row r="103" spans="1:14" s="373" customFormat="1" ht="25.5" hidden="1" outlineLevel="2" x14ac:dyDescent="0.2">
      <c r="A103" s="208" t="s">
        <v>1050</v>
      </c>
      <c r="B103" s="100" t="s">
        <v>662</v>
      </c>
      <c r="C103" s="100" t="s">
        <v>661</v>
      </c>
      <c r="D103" s="157" t="s">
        <v>262</v>
      </c>
      <c r="E103" s="277">
        <f>2473</f>
        <v>2473</v>
      </c>
      <c r="F103" s="277">
        <f>493139*(1.023*1.005-2.3%*15%)*6.99-71</f>
        <v>3531992</v>
      </c>
      <c r="G103" s="299">
        <f>$G$335</f>
        <v>1.1279999999999999</v>
      </c>
      <c r="H103" s="339">
        <f t="shared" si="20"/>
        <v>3984087</v>
      </c>
      <c r="I103" s="299">
        <f>Дефляторы!$D$27</f>
        <v>1.0509999999999999</v>
      </c>
      <c r="J103" s="339">
        <f t="shared" si="28"/>
        <v>4187275</v>
      </c>
      <c r="K103" s="339">
        <f t="shared" si="29"/>
        <v>4126319</v>
      </c>
      <c r="L103" s="372"/>
      <c r="M103" s="372"/>
      <c r="N103" s="372"/>
    </row>
    <row r="104" spans="1:14" s="373" customFormat="1" ht="51" hidden="1" outlineLevel="2" x14ac:dyDescent="0.2">
      <c r="A104" s="208" t="s">
        <v>1051</v>
      </c>
      <c r="B104" s="100" t="s">
        <v>663</v>
      </c>
      <c r="C104" s="100" t="s">
        <v>666</v>
      </c>
      <c r="D104" s="157" t="s">
        <v>262</v>
      </c>
      <c r="E104" s="277">
        <v>2473</v>
      </c>
      <c r="F104" s="277">
        <f>(40550+22262+4610)*(1.023*1.005-2.3%*15%)*6.99</f>
        <v>482904</v>
      </c>
      <c r="G104" s="299">
        <f>$G$335</f>
        <v>1.1279999999999999</v>
      </c>
      <c r="H104" s="339">
        <f t="shared" si="20"/>
        <v>544716</v>
      </c>
      <c r="I104" s="299">
        <f>Дефляторы!$D$27</f>
        <v>1.0509999999999999</v>
      </c>
      <c r="J104" s="339">
        <f t="shared" si="28"/>
        <v>572497</v>
      </c>
      <c r="K104" s="339">
        <f t="shared" si="29"/>
        <v>564163</v>
      </c>
      <c r="L104" s="375" t="s">
        <v>1330</v>
      </c>
      <c r="M104" s="372"/>
      <c r="N104" s="372"/>
    </row>
    <row r="105" spans="1:14" s="373" customFormat="1" ht="25.5" hidden="1" outlineLevel="2" x14ac:dyDescent="0.2">
      <c r="A105" s="208" t="s">
        <v>1052</v>
      </c>
      <c r="B105" s="100" t="s">
        <v>667</v>
      </c>
      <c r="C105" s="100" t="s">
        <v>668</v>
      </c>
      <c r="D105" s="157" t="s">
        <v>271</v>
      </c>
      <c r="E105" s="277">
        <v>300</v>
      </c>
      <c r="F105" s="277">
        <f>(98+662+4305+3530-698)*(1.023*1.005-2.3%*15%)*6.99</f>
        <v>56562</v>
      </c>
      <c r="G105" s="299">
        <f>$G$335</f>
        <v>1.1279999999999999</v>
      </c>
      <c r="H105" s="339">
        <f t="shared" si="20"/>
        <v>63802</v>
      </c>
      <c r="I105" s="299">
        <f>Дефляторы!$D$27</f>
        <v>1.0509999999999999</v>
      </c>
      <c r="J105" s="339">
        <f t="shared" si="28"/>
        <v>67056</v>
      </c>
      <c r="K105" s="339">
        <f t="shared" si="29"/>
        <v>66080</v>
      </c>
      <c r="L105" s="372"/>
      <c r="M105" s="372"/>
      <c r="N105" s="372"/>
    </row>
    <row r="106" spans="1:14" s="373" customFormat="1" ht="15.75" hidden="1" outlineLevel="2" x14ac:dyDescent="0.2">
      <c r="A106" s="208"/>
      <c r="B106" s="100"/>
      <c r="C106" s="267" t="s">
        <v>323</v>
      </c>
      <c r="D106" s="157"/>
      <c r="E106" s="277"/>
      <c r="F106" s="277"/>
      <c r="G106" s="299"/>
      <c r="H106" s="339"/>
      <c r="I106" s="299">
        <f>Дефляторы!$D$27</f>
        <v>1.0509999999999999</v>
      </c>
      <c r="J106" s="339">
        <f t="shared" si="28"/>
        <v>0</v>
      </c>
      <c r="K106" s="339">
        <f t="shared" si="29"/>
        <v>0</v>
      </c>
      <c r="L106" s="372"/>
      <c r="M106" s="372"/>
      <c r="N106" s="372"/>
    </row>
    <row r="107" spans="1:14" s="373" customFormat="1" ht="15.75" hidden="1" outlineLevel="2" x14ac:dyDescent="0.2">
      <c r="A107" s="208" t="s">
        <v>1053</v>
      </c>
      <c r="B107" s="100" t="s">
        <v>327</v>
      </c>
      <c r="C107" s="100" t="s">
        <v>737</v>
      </c>
      <c r="D107" s="157" t="s">
        <v>305</v>
      </c>
      <c r="E107" s="277">
        <v>1</v>
      </c>
      <c r="F107" s="277">
        <f>1104/8248*36002*(1.023*1.005-2.3%*15%)*6.99</f>
        <v>34515</v>
      </c>
      <c r="G107" s="299">
        <f t="shared" ref="G107:G116" si="30">$G$335</f>
        <v>1.1279999999999999</v>
      </c>
      <c r="H107" s="339">
        <f t="shared" si="20"/>
        <v>38933</v>
      </c>
      <c r="I107" s="299">
        <f>Дефляторы!$D$27</f>
        <v>1.0509999999999999</v>
      </c>
      <c r="J107" s="339">
        <f t="shared" si="28"/>
        <v>40919</v>
      </c>
      <c r="K107" s="339">
        <f t="shared" si="29"/>
        <v>40323</v>
      </c>
      <c r="L107" s="372"/>
      <c r="M107" s="372">
        <v>1104</v>
      </c>
      <c r="N107" s="372">
        <f t="shared" ref="N107:N114" si="31">E107*M107</f>
        <v>1104</v>
      </c>
    </row>
    <row r="108" spans="1:14" s="373" customFormat="1" ht="15.75" hidden="1" outlineLevel="2" x14ac:dyDescent="0.2">
      <c r="A108" s="208" t="s">
        <v>1054</v>
      </c>
      <c r="B108" s="100" t="s">
        <v>327</v>
      </c>
      <c r="C108" s="100" t="s">
        <v>738</v>
      </c>
      <c r="D108" s="157" t="s">
        <v>305</v>
      </c>
      <c r="E108" s="277">
        <v>1</v>
      </c>
      <c r="F108" s="277">
        <f>1999/8248*36002*(1.023*1.005-2.3%*15%)*6.99</f>
        <v>62496</v>
      </c>
      <c r="G108" s="299">
        <f t="shared" si="30"/>
        <v>1.1279999999999999</v>
      </c>
      <c r="H108" s="339">
        <f t="shared" si="20"/>
        <v>70495</v>
      </c>
      <c r="I108" s="299">
        <f>Дефляторы!$D$27</f>
        <v>1.0509999999999999</v>
      </c>
      <c r="J108" s="339">
        <f t="shared" si="28"/>
        <v>74090</v>
      </c>
      <c r="K108" s="339">
        <f t="shared" si="29"/>
        <v>73012</v>
      </c>
      <c r="L108" s="372"/>
      <c r="M108" s="372">
        <v>1999</v>
      </c>
      <c r="N108" s="372">
        <f t="shared" si="31"/>
        <v>1999</v>
      </c>
    </row>
    <row r="109" spans="1:14" s="373" customFormat="1" ht="15.75" hidden="1" outlineLevel="2" x14ac:dyDescent="0.2">
      <c r="A109" s="208" t="s">
        <v>1055</v>
      </c>
      <c r="B109" s="100" t="s">
        <v>327</v>
      </c>
      <c r="C109" s="100" t="s">
        <v>739</v>
      </c>
      <c r="D109" s="157" t="s">
        <v>305</v>
      </c>
      <c r="E109" s="277">
        <v>1</v>
      </c>
      <c r="F109" s="277">
        <f>2703/8248*36002*(1.023*1.005-2.3%*15%)*6.99</f>
        <v>84505</v>
      </c>
      <c r="G109" s="299">
        <f t="shared" si="30"/>
        <v>1.1279999999999999</v>
      </c>
      <c r="H109" s="339">
        <f t="shared" si="20"/>
        <v>95322</v>
      </c>
      <c r="I109" s="299">
        <f>Дефляторы!$D$27</f>
        <v>1.0509999999999999</v>
      </c>
      <c r="J109" s="339">
        <f t="shared" si="28"/>
        <v>100183</v>
      </c>
      <c r="K109" s="339">
        <f t="shared" si="29"/>
        <v>98725</v>
      </c>
      <c r="L109" s="372"/>
      <c r="M109" s="372">
        <v>2703</v>
      </c>
      <c r="N109" s="372">
        <f t="shared" si="31"/>
        <v>2703</v>
      </c>
    </row>
    <row r="110" spans="1:14" s="373" customFormat="1" ht="15.75" hidden="1" outlineLevel="2" x14ac:dyDescent="0.2">
      <c r="A110" s="208" t="s">
        <v>1056</v>
      </c>
      <c r="B110" s="100" t="s">
        <v>327</v>
      </c>
      <c r="C110" s="100" t="s">
        <v>740</v>
      </c>
      <c r="D110" s="157" t="s">
        <v>305</v>
      </c>
      <c r="E110" s="277">
        <v>1</v>
      </c>
      <c r="F110" s="277">
        <f>2442/8248*36002*(1.023*1.005-2.3%*15%)*6.99</f>
        <v>76345</v>
      </c>
      <c r="G110" s="299">
        <f t="shared" si="30"/>
        <v>1.1279999999999999</v>
      </c>
      <c r="H110" s="339">
        <f t="shared" si="20"/>
        <v>86117</v>
      </c>
      <c r="I110" s="299">
        <f>Дефляторы!$D$27</f>
        <v>1.0509999999999999</v>
      </c>
      <c r="J110" s="339">
        <f t="shared" si="28"/>
        <v>90509</v>
      </c>
      <c r="K110" s="339">
        <f t="shared" si="29"/>
        <v>89191</v>
      </c>
      <c r="L110" s="372"/>
      <c r="M110" s="372">
        <v>2442</v>
      </c>
      <c r="N110" s="372">
        <f t="shared" si="31"/>
        <v>2442</v>
      </c>
    </row>
    <row r="111" spans="1:14" s="373" customFormat="1" ht="25.5" hidden="1" outlineLevel="2" x14ac:dyDescent="0.2">
      <c r="A111" s="208" t="s">
        <v>1057</v>
      </c>
      <c r="B111" s="100" t="s">
        <v>325</v>
      </c>
      <c r="C111" s="100" t="s">
        <v>328</v>
      </c>
      <c r="D111" s="157" t="s">
        <v>305</v>
      </c>
      <c r="E111" s="277">
        <v>8</v>
      </c>
      <c r="F111" s="277">
        <f>8000/48800*241957*(1.023*1.005-2.3%*15%)*6.99</f>
        <v>284098</v>
      </c>
      <c r="G111" s="299">
        <f t="shared" si="30"/>
        <v>1.1279999999999999</v>
      </c>
      <c r="H111" s="339">
        <f t="shared" ref="H111:H174" si="32">F111*G111</f>
        <v>320463</v>
      </c>
      <c r="I111" s="299">
        <f>Дефляторы!$D$27</f>
        <v>1.0509999999999999</v>
      </c>
      <c r="J111" s="339">
        <f t="shared" si="28"/>
        <v>336807</v>
      </c>
      <c r="K111" s="339">
        <f t="shared" si="29"/>
        <v>331904</v>
      </c>
      <c r="L111" s="375" t="s">
        <v>741</v>
      </c>
      <c r="M111" s="372">
        <v>1000</v>
      </c>
      <c r="N111" s="372">
        <f t="shared" si="31"/>
        <v>8000</v>
      </c>
    </row>
    <row r="112" spans="1:14" s="373" customFormat="1" ht="15.75" hidden="1" outlineLevel="2" x14ac:dyDescent="0.2">
      <c r="A112" s="208" t="s">
        <v>1058</v>
      </c>
      <c r="B112" s="100" t="s">
        <v>325</v>
      </c>
      <c r="C112" s="100" t="s">
        <v>329</v>
      </c>
      <c r="D112" s="157" t="s">
        <v>305</v>
      </c>
      <c r="E112" s="277">
        <v>8</v>
      </c>
      <c r="F112" s="277">
        <f>10400/48800*241957*(1.023*1.005-2.3%*15%)*6.99</f>
        <v>369327</v>
      </c>
      <c r="G112" s="299">
        <f t="shared" si="30"/>
        <v>1.1279999999999999</v>
      </c>
      <c r="H112" s="339">
        <f t="shared" si="32"/>
        <v>416601</v>
      </c>
      <c r="I112" s="299">
        <f>Дефляторы!$D$27</f>
        <v>1.0509999999999999</v>
      </c>
      <c r="J112" s="339">
        <f t="shared" si="28"/>
        <v>437848</v>
      </c>
      <c r="K112" s="339">
        <f t="shared" si="29"/>
        <v>431474</v>
      </c>
      <c r="L112" s="372"/>
      <c r="M112" s="372">
        <v>1300</v>
      </c>
      <c r="N112" s="372">
        <f t="shared" si="31"/>
        <v>10400</v>
      </c>
    </row>
    <row r="113" spans="1:14" s="373" customFormat="1" ht="15.75" hidden="1" outlineLevel="2" x14ac:dyDescent="0.2">
      <c r="A113" s="208" t="s">
        <v>1059</v>
      </c>
      <c r="B113" s="100" t="s">
        <v>325</v>
      </c>
      <c r="C113" s="100" t="s">
        <v>330</v>
      </c>
      <c r="D113" s="157" t="s">
        <v>305</v>
      </c>
      <c r="E113" s="277">
        <v>4</v>
      </c>
      <c r="F113" s="277">
        <f>20800/48800*241957*(1.023*1.005-2.3%*15%)*6.99</f>
        <v>738654</v>
      </c>
      <c r="G113" s="299">
        <f t="shared" si="30"/>
        <v>1.1279999999999999</v>
      </c>
      <c r="H113" s="339">
        <f t="shared" si="32"/>
        <v>833202</v>
      </c>
      <c r="I113" s="299">
        <f>Дефляторы!$D$27</f>
        <v>1.0509999999999999</v>
      </c>
      <c r="J113" s="339">
        <f t="shared" si="28"/>
        <v>875695</v>
      </c>
      <c r="K113" s="339">
        <f t="shared" si="29"/>
        <v>862947</v>
      </c>
      <c r="L113" s="372"/>
      <c r="M113" s="372">
        <v>5200</v>
      </c>
      <c r="N113" s="372">
        <f t="shared" si="31"/>
        <v>20800</v>
      </c>
    </row>
    <row r="114" spans="1:14" s="373" customFormat="1" ht="15.75" hidden="1" outlineLevel="2" x14ac:dyDescent="0.2">
      <c r="A114" s="208" t="s">
        <v>1060</v>
      </c>
      <c r="B114" s="100" t="s">
        <v>325</v>
      </c>
      <c r="C114" s="100" t="s">
        <v>331</v>
      </c>
      <c r="D114" s="157" t="s">
        <v>305</v>
      </c>
      <c r="E114" s="277">
        <v>4</v>
      </c>
      <c r="F114" s="277">
        <f>9600/48800*241957*(1.023*1.005-2.3%*15%)*6.99</f>
        <v>340917</v>
      </c>
      <c r="G114" s="299">
        <f t="shared" si="30"/>
        <v>1.1279999999999999</v>
      </c>
      <c r="H114" s="339">
        <f t="shared" si="32"/>
        <v>384554</v>
      </c>
      <c r="I114" s="299">
        <f>Дефляторы!$D$27</f>
        <v>1.0509999999999999</v>
      </c>
      <c r="J114" s="339">
        <f t="shared" si="28"/>
        <v>404166</v>
      </c>
      <c r="K114" s="339">
        <f t="shared" si="29"/>
        <v>398282</v>
      </c>
      <c r="L114" s="372"/>
      <c r="M114" s="372">
        <v>2400</v>
      </c>
      <c r="N114" s="372">
        <f t="shared" si="31"/>
        <v>9600</v>
      </c>
    </row>
    <row r="115" spans="1:14" s="362" customFormat="1" ht="15.75" outlineLevel="1" collapsed="1" x14ac:dyDescent="0.2">
      <c r="A115" s="282" t="s">
        <v>293</v>
      </c>
      <c r="B115" s="283"/>
      <c r="C115" s="283" t="s">
        <v>1012</v>
      </c>
      <c r="D115" s="359" t="s">
        <v>250</v>
      </c>
      <c r="E115" s="154">
        <v>1</v>
      </c>
      <c r="F115" s="154">
        <f>SUM(F116:F146)</f>
        <v>3285357</v>
      </c>
      <c r="G115" s="296">
        <f t="shared" si="30"/>
        <v>1.1279999999999999</v>
      </c>
      <c r="H115" s="337">
        <f>SUM(H116:H146)</f>
        <v>3705881</v>
      </c>
      <c r="I115" s="296">
        <f>Дефляторы!$D$27</f>
        <v>1.0509999999999999</v>
      </c>
      <c r="J115" s="337">
        <f>SUM(J116:J146)</f>
        <v>3894881</v>
      </c>
      <c r="K115" s="337">
        <f>SUM(K116:K146)</f>
        <v>3838184</v>
      </c>
      <c r="L115" s="360"/>
      <c r="M115" s="360"/>
      <c r="N115" s="360"/>
    </row>
    <row r="116" spans="1:14" s="373" customFormat="1" ht="15.75" hidden="1" outlineLevel="2" x14ac:dyDescent="0.2">
      <c r="A116" s="208" t="s">
        <v>908</v>
      </c>
      <c r="B116" s="100" t="s">
        <v>310</v>
      </c>
      <c r="C116" s="100" t="s">
        <v>309</v>
      </c>
      <c r="D116" s="157" t="s">
        <v>305</v>
      </c>
      <c r="E116" s="277">
        <v>1</v>
      </c>
      <c r="F116" s="277">
        <f>120665*(1.023*1.005-2.3%*15%)*6.99+35</f>
        <v>864287</v>
      </c>
      <c r="G116" s="299">
        <f t="shared" si="30"/>
        <v>1.1279999999999999</v>
      </c>
      <c r="H116" s="339">
        <f t="shared" si="32"/>
        <v>974916</v>
      </c>
      <c r="I116" s="299">
        <f>Дефляторы!$D$27</f>
        <v>1.0509999999999999</v>
      </c>
      <c r="J116" s="339">
        <f t="shared" si="28"/>
        <v>1024637</v>
      </c>
      <c r="K116" s="339">
        <f t="shared" si="29"/>
        <v>1009721</v>
      </c>
      <c r="L116" s="372"/>
      <c r="M116" s="277">
        <f>15000</f>
        <v>15000</v>
      </c>
      <c r="N116" s="372">
        <f>E116*M116</f>
        <v>15000</v>
      </c>
    </row>
    <row r="117" spans="1:14" s="373" customFormat="1" ht="51" hidden="1" outlineLevel="2" x14ac:dyDescent="0.2">
      <c r="A117" s="208"/>
      <c r="B117" s="100"/>
      <c r="C117" s="100" t="s">
        <v>720</v>
      </c>
      <c r="D117" s="157"/>
      <c r="E117" s="277"/>
      <c r="F117" s="277"/>
      <c r="G117" s="299"/>
      <c r="H117" s="339"/>
      <c r="I117" s="299">
        <f>Дефляторы!$D$27</f>
        <v>1.0509999999999999</v>
      </c>
      <c r="J117" s="339">
        <f t="shared" si="28"/>
        <v>0</v>
      </c>
      <c r="K117" s="339">
        <f t="shared" si="29"/>
        <v>0</v>
      </c>
      <c r="L117" s="375" t="s">
        <v>721</v>
      </c>
      <c r="M117" s="277">
        <f>9671</f>
        <v>9671</v>
      </c>
      <c r="N117" s="372"/>
    </row>
    <row r="118" spans="1:14" s="373" customFormat="1" ht="25.5" hidden="1" customHeight="1" outlineLevel="2" x14ac:dyDescent="0.2">
      <c r="A118" s="208" t="s">
        <v>909</v>
      </c>
      <c r="B118" s="100" t="s">
        <v>311</v>
      </c>
      <c r="C118" s="100" t="s">
        <v>716</v>
      </c>
      <c r="D118" s="157" t="s">
        <v>305</v>
      </c>
      <c r="E118" s="277">
        <v>1</v>
      </c>
      <c r="F118" s="277">
        <f>550/9671*49497*(1.023*1.005-2.3%*15%)*6.99</f>
        <v>20162</v>
      </c>
      <c r="G118" s="299">
        <f>$G$335</f>
        <v>1.1279999999999999</v>
      </c>
      <c r="H118" s="339">
        <f t="shared" si="32"/>
        <v>22743</v>
      </c>
      <c r="I118" s="299">
        <f>Дефляторы!$D$27</f>
        <v>1.0509999999999999</v>
      </c>
      <c r="J118" s="339">
        <f t="shared" si="28"/>
        <v>23903</v>
      </c>
      <c r="K118" s="339">
        <f t="shared" si="29"/>
        <v>23555</v>
      </c>
      <c r="L118" s="624" t="s">
        <v>1326</v>
      </c>
      <c r="M118" s="277">
        <f>550</f>
        <v>550</v>
      </c>
      <c r="N118" s="372">
        <f>E118*M118</f>
        <v>550</v>
      </c>
    </row>
    <row r="119" spans="1:14" s="373" customFormat="1" ht="24" hidden="1" customHeight="1" outlineLevel="2" x14ac:dyDescent="0.2">
      <c r="A119" s="208" t="s">
        <v>910</v>
      </c>
      <c r="B119" s="100" t="s">
        <v>311</v>
      </c>
      <c r="C119" s="100" t="s">
        <v>717</v>
      </c>
      <c r="D119" s="157" t="s">
        <v>305</v>
      </c>
      <c r="E119" s="277">
        <v>1</v>
      </c>
      <c r="F119" s="277">
        <f>566/9671*49497*(1.023*1.005-2.3%*15%)*6.99</f>
        <v>20748</v>
      </c>
      <c r="G119" s="299">
        <f>$G$335</f>
        <v>1.1279999999999999</v>
      </c>
      <c r="H119" s="339">
        <f t="shared" si="32"/>
        <v>23404</v>
      </c>
      <c r="I119" s="299">
        <f>Дефляторы!$D$27</f>
        <v>1.0509999999999999</v>
      </c>
      <c r="J119" s="339">
        <f t="shared" si="28"/>
        <v>24598</v>
      </c>
      <c r="K119" s="339">
        <f t="shared" si="29"/>
        <v>24240</v>
      </c>
      <c r="L119" s="625"/>
      <c r="M119" s="277">
        <f>566</f>
        <v>566</v>
      </c>
      <c r="N119" s="372">
        <f>E119*M119</f>
        <v>566</v>
      </c>
    </row>
    <row r="120" spans="1:14" s="373" customFormat="1" ht="63.75" hidden="1" outlineLevel="2" x14ac:dyDescent="0.2">
      <c r="A120" s="208" t="s">
        <v>911</v>
      </c>
      <c r="B120" s="100" t="s">
        <v>311</v>
      </c>
      <c r="C120" s="100" t="s">
        <v>719</v>
      </c>
      <c r="D120" s="157" t="s">
        <v>305</v>
      </c>
      <c r="E120" s="277">
        <v>1</v>
      </c>
      <c r="F120" s="277">
        <f>7845/9671*49497*(1.023*1.005-2.3%*15%)*6.99</f>
        <v>287581</v>
      </c>
      <c r="G120" s="299">
        <f>$G$335</f>
        <v>1.1279999999999999</v>
      </c>
      <c r="H120" s="339">
        <f t="shared" si="32"/>
        <v>324391</v>
      </c>
      <c r="I120" s="299">
        <f>Дефляторы!$D$27</f>
        <v>1.0509999999999999</v>
      </c>
      <c r="J120" s="339">
        <f t="shared" si="28"/>
        <v>340935</v>
      </c>
      <c r="K120" s="339">
        <f t="shared" si="29"/>
        <v>335972</v>
      </c>
      <c r="L120" s="375" t="s">
        <v>1327</v>
      </c>
      <c r="M120" s="277">
        <f>7845</f>
        <v>7845</v>
      </c>
      <c r="N120" s="372">
        <f>E120*M120</f>
        <v>7845</v>
      </c>
    </row>
    <row r="121" spans="1:14" s="373" customFormat="1" ht="63.75" hidden="1" outlineLevel="2" x14ac:dyDescent="0.2">
      <c r="A121" s="208" t="s">
        <v>912</v>
      </c>
      <c r="B121" s="100" t="s">
        <v>311</v>
      </c>
      <c r="C121" s="100" t="s">
        <v>718</v>
      </c>
      <c r="D121" s="157" t="s">
        <v>305</v>
      </c>
      <c r="E121" s="277">
        <v>1</v>
      </c>
      <c r="F121" s="277">
        <f>710/9671*49497*(1.023*1.005-2.3%*15%)*6.99</f>
        <v>26027</v>
      </c>
      <c r="G121" s="299">
        <f>$G$335</f>
        <v>1.1279999999999999</v>
      </c>
      <c r="H121" s="339">
        <f t="shared" si="32"/>
        <v>29358</v>
      </c>
      <c r="I121" s="299">
        <f>Дефляторы!$D$27</f>
        <v>1.0509999999999999</v>
      </c>
      <c r="J121" s="339">
        <f t="shared" si="28"/>
        <v>30855</v>
      </c>
      <c r="K121" s="339">
        <f t="shared" si="29"/>
        <v>30406</v>
      </c>
      <c r="L121" s="375" t="s">
        <v>1328</v>
      </c>
      <c r="M121" s="277">
        <f>710</f>
        <v>710</v>
      </c>
      <c r="N121" s="372">
        <f>E121*M121</f>
        <v>710</v>
      </c>
    </row>
    <row r="122" spans="1:14" s="373" customFormat="1" ht="15.75" hidden="1" outlineLevel="2" x14ac:dyDescent="0.2">
      <c r="A122" s="208"/>
      <c r="B122" s="100"/>
      <c r="C122" s="100" t="s">
        <v>731</v>
      </c>
      <c r="D122" s="157"/>
      <c r="E122" s="277"/>
      <c r="F122" s="277"/>
      <c r="G122" s="299"/>
      <c r="H122" s="339"/>
      <c r="I122" s="299">
        <f>Дефляторы!$D$27</f>
        <v>1.0509999999999999</v>
      </c>
      <c r="J122" s="339">
        <f t="shared" si="28"/>
        <v>0</v>
      </c>
      <c r="K122" s="339">
        <f t="shared" si="29"/>
        <v>0</v>
      </c>
      <c r="L122" s="372"/>
      <c r="M122" s="277">
        <f>3732</f>
        <v>3732</v>
      </c>
      <c r="N122" s="372"/>
    </row>
    <row r="123" spans="1:14" s="373" customFormat="1" ht="15.75" hidden="1" outlineLevel="2" x14ac:dyDescent="0.2">
      <c r="A123" s="208" t="s">
        <v>1061</v>
      </c>
      <c r="B123" s="100" t="s">
        <v>264</v>
      </c>
      <c r="C123" s="100" t="s">
        <v>725</v>
      </c>
      <c r="D123" s="157" t="s">
        <v>305</v>
      </c>
      <c r="E123" s="277">
        <v>2</v>
      </c>
      <c r="F123" s="277">
        <f>1110/3732*6419*(1.023*1.005-2.3%*15%)*6.99</f>
        <v>13674</v>
      </c>
      <c r="G123" s="299">
        <f>$G$335</f>
        <v>1.1279999999999999</v>
      </c>
      <c r="H123" s="339">
        <f t="shared" si="32"/>
        <v>15424</v>
      </c>
      <c r="I123" s="299">
        <f>Дефляторы!$D$27</f>
        <v>1.0509999999999999</v>
      </c>
      <c r="J123" s="339">
        <f t="shared" si="28"/>
        <v>16211</v>
      </c>
      <c r="K123" s="339">
        <f t="shared" si="29"/>
        <v>15975</v>
      </c>
      <c r="L123" s="372"/>
      <c r="M123" s="277">
        <f>555</f>
        <v>555</v>
      </c>
      <c r="N123" s="372">
        <f>E123*M123</f>
        <v>1110</v>
      </c>
    </row>
    <row r="124" spans="1:14" s="373" customFormat="1" ht="15.75" hidden="1" outlineLevel="2" x14ac:dyDescent="0.2">
      <c r="A124" s="208" t="s">
        <v>1062</v>
      </c>
      <c r="B124" s="100" t="s">
        <v>264</v>
      </c>
      <c r="C124" s="100" t="s">
        <v>729</v>
      </c>
      <c r="D124" s="157" t="s">
        <v>305</v>
      </c>
      <c r="E124" s="277">
        <v>1</v>
      </c>
      <c r="F124" s="277">
        <f>600/3732*6419*(1.023*1.005-2.3%*15%)*6.99</f>
        <v>7392</v>
      </c>
      <c r="G124" s="299">
        <f>$G$335</f>
        <v>1.1279999999999999</v>
      </c>
      <c r="H124" s="339">
        <f t="shared" si="32"/>
        <v>8338</v>
      </c>
      <c r="I124" s="299">
        <f>Дефляторы!$D$27</f>
        <v>1.0509999999999999</v>
      </c>
      <c r="J124" s="339">
        <f t="shared" si="28"/>
        <v>8763</v>
      </c>
      <c r="K124" s="339">
        <f t="shared" si="29"/>
        <v>8636</v>
      </c>
      <c r="L124" s="372"/>
      <c r="M124" s="372">
        <v>600</v>
      </c>
      <c r="N124" s="374">
        <f>E124*M124</f>
        <v>600</v>
      </c>
    </row>
    <row r="125" spans="1:14" s="373" customFormat="1" ht="15.75" hidden="1" outlineLevel="2" x14ac:dyDescent="0.2">
      <c r="A125" s="208" t="s">
        <v>1063</v>
      </c>
      <c r="B125" s="100" t="s">
        <v>264</v>
      </c>
      <c r="C125" s="100" t="s">
        <v>730</v>
      </c>
      <c r="D125" s="157" t="s">
        <v>305</v>
      </c>
      <c r="E125" s="277">
        <v>1</v>
      </c>
      <c r="F125" s="277">
        <f>2022/3732*6419*(1.023*1.005-2.3%*15%)*6.99</f>
        <v>24910</v>
      </c>
      <c r="G125" s="299">
        <f>$G$335</f>
        <v>1.1279999999999999</v>
      </c>
      <c r="H125" s="339">
        <f t="shared" si="32"/>
        <v>28098</v>
      </c>
      <c r="I125" s="299">
        <f>Дефляторы!$D$27</f>
        <v>1.0509999999999999</v>
      </c>
      <c r="J125" s="339">
        <f t="shared" si="28"/>
        <v>29531</v>
      </c>
      <c r="K125" s="339">
        <f t="shared" si="29"/>
        <v>29101</v>
      </c>
      <c r="L125" s="372"/>
      <c r="M125" s="372">
        <v>2022</v>
      </c>
      <c r="N125" s="374">
        <f>E125*M125</f>
        <v>2022</v>
      </c>
    </row>
    <row r="126" spans="1:14" s="373" customFormat="1" ht="15.75" hidden="1" outlineLevel="2" x14ac:dyDescent="0.2">
      <c r="A126" s="208"/>
      <c r="B126" s="100"/>
      <c r="C126" s="267" t="s">
        <v>1007</v>
      </c>
      <c r="D126" s="317"/>
      <c r="E126" s="277"/>
      <c r="F126" s="277"/>
      <c r="G126" s="299"/>
      <c r="H126" s="339"/>
      <c r="I126" s="299">
        <f>Дефляторы!$D$27</f>
        <v>1.0509999999999999</v>
      </c>
      <c r="J126" s="339">
        <f t="shared" si="28"/>
        <v>0</v>
      </c>
      <c r="K126" s="339">
        <f t="shared" si="29"/>
        <v>0</v>
      </c>
      <c r="L126" s="375"/>
      <c r="M126" s="372"/>
      <c r="N126" s="372"/>
    </row>
    <row r="127" spans="1:14" s="373" customFormat="1" ht="15.75" hidden="1" outlineLevel="2" x14ac:dyDescent="0.2">
      <c r="A127" s="208" t="s">
        <v>1064</v>
      </c>
      <c r="B127" s="100" t="s">
        <v>604</v>
      </c>
      <c r="C127" s="100" t="s">
        <v>602</v>
      </c>
      <c r="D127" s="157" t="s">
        <v>250</v>
      </c>
      <c r="E127" s="277">
        <v>1</v>
      </c>
      <c r="F127" s="277">
        <f>6999*(1.023*1.005-2.3%*15%)*6.99+6733*4.09-35</f>
        <v>77633</v>
      </c>
      <c r="G127" s="299">
        <f>$G$335</f>
        <v>1.1279999999999999</v>
      </c>
      <c r="H127" s="339">
        <f t="shared" si="32"/>
        <v>87570</v>
      </c>
      <c r="I127" s="299">
        <f>Дефляторы!$D$27</f>
        <v>1.0509999999999999</v>
      </c>
      <c r="J127" s="339">
        <f t="shared" si="28"/>
        <v>92036</v>
      </c>
      <c r="K127" s="339">
        <f t="shared" si="29"/>
        <v>90696</v>
      </c>
      <c r="L127" s="372"/>
      <c r="M127" s="372"/>
      <c r="N127" s="372"/>
    </row>
    <row r="128" spans="1:14" s="373" customFormat="1" ht="15.75" hidden="1" outlineLevel="2" x14ac:dyDescent="0.2">
      <c r="A128" s="208" t="s">
        <v>1065</v>
      </c>
      <c r="B128" s="100" t="s">
        <v>605</v>
      </c>
      <c r="C128" s="100" t="s">
        <v>603</v>
      </c>
      <c r="D128" s="157" t="s">
        <v>250</v>
      </c>
      <c r="E128" s="277">
        <v>1</v>
      </c>
      <c r="F128" s="277">
        <f>3856*(1.023*1.005-2.3%*15%)*6.99+140*4.09</f>
        <v>28191</v>
      </c>
      <c r="G128" s="299">
        <f>$G$335</f>
        <v>1.1279999999999999</v>
      </c>
      <c r="H128" s="339">
        <f t="shared" si="32"/>
        <v>31799</v>
      </c>
      <c r="I128" s="299">
        <f>Дефляторы!$D$27</f>
        <v>1.0509999999999999</v>
      </c>
      <c r="J128" s="339">
        <f t="shared" si="28"/>
        <v>33421</v>
      </c>
      <c r="K128" s="339">
        <f t="shared" si="29"/>
        <v>32934</v>
      </c>
      <c r="L128" s="372"/>
      <c r="M128" s="372"/>
      <c r="N128" s="372"/>
    </row>
    <row r="129" spans="1:14" s="373" customFormat="1" ht="25.5" hidden="1" outlineLevel="2" x14ac:dyDescent="0.2">
      <c r="A129" s="208" t="s">
        <v>1066</v>
      </c>
      <c r="B129" s="100" t="s">
        <v>607</v>
      </c>
      <c r="C129" s="100" t="s">
        <v>606</v>
      </c>
      <c r="D129" s="317" t="s">
        <v>250</v>
      </c>
      <c r="E129" s="277">
        <v>1</v>
      </c>
      <c r="F129" s="277">
        <f>5432*(1.023*1.005-2.3%*15%)*6.99+3636*4.09</f>
        <v>53777</v>
      </c>
      <c r="G129" s="299">
        <f>$G$335</f>
        <v>1.1279999999999999</v>
      </c>
      <c r="H129" s="339">
        <f t="shared" si="32"/>
        <v>60660</v>
      </c>
      <c r="I129" s="299">
        <f>Дефляторы!$D$27</f>
        <v>1.0509999999999999</v>
      </c>
      <c r="J129" s="339">
        <f t="shared" si="28"/>
        <v>63754</v>
      </c>
      <c r="K129" s="339">
        <f t="shared" si="29"/>
        <v>62826</v>
      </c>
      <c r="L129" s="372"/>
      <c r="M129" s="372"/>
      <c r="N129" s="372"/>
    </row>
    <row r="130" spans="1:14" s="373" customFormat="1" ht="15.75" hidden="1" outlineLevel="2" x14ac:dyDescent="0.2">
      <c r="A130" s="208"/>
      <c r="B130" s="100"/>
      <c r="C130" s="267" t="s">
        <v>609</v>
      </c>
      <c r="D130" s="317"/>
      <c r="E130" s="277"/>
      <c r="F130" s="277"/>
      <c r="G130" s="299"/>
      <c r="H130" s="339"/>
      <c r="I130" s="299">
        <f>Дефляторы!$D$27</f>
        <v>1.0509999999999999</v>
      </c>
      <c r="J130" s="339">
        <f t="shared" si="28"/>
        <v>0</v>
      </c>
      <c r="K130" s="339">
        <f t="shared" si="29"/>
        <v>0</v>
      </c>
      <c r="L130" s="372"/>
      <c r="M130" s="372"/>
      <c r="N130" s="372"/>
    </row>
    <row r="131" spans="1:14" s="373" customFormat="1" ht="15.75" hidden="1" outlineLevel="2" x14ac:dyDescent="0.2">
      <c r="A131" s="208" t="s">
        <v>1067</v>
      </c>
      <c r="B131" s="100" t="s">
        <v>614</v>
      </c>
      <c r="C131" s="100" t="s">
        <v>610</v>
      </c>
      <c r="D131" s="317" t="s">
        <v>283</v>
      </c>
      <c r="E131" s="277">
        <v>2</v>
      </c>
      <c r="F131" s="277">
        <f>0*(1.023*1.005-2.3%*15%)*6.99+1621*4.09</f>
        <v>6630</v>
      </c>
      <c r="G131" s="299">
        <f>$G$335</f>
        <v>1.1279999999999999</v>
      </c>
      <c r="H131" s="339">
        <f t="shared" si="32"/>
        <v>7479</v>
      </c>
      <c r="I131" s="299">
        <f>Дефляторы!$D$27</f>
        <v>1.0509999999999999</v>
      </c>
      <c r="J131" s="339">
        <f t="shared" si="28"/>
        <v>7860</v>
      </c>
      <c r="K131" s="339">
        <f t="shared" si="29"/>
        <v>7746</v>
      </c>
      <c r="L131" s="372"/>
      <c r="M131" s="372"/>
      <c r="N131" s="372"/>
    </row>
    <row r="132" spans="1:14" s="373" customFormat="1" ht="15.75" hidden="1" outlineLevel="2" x14ac:dyDescent="0.2">
      <c r="A132" s="208" t="s">
        <v>1068</v>
      </c>
      <c r="B132" s="100" t="s">
        <v>615</v>
      </c>
      <c r="C132" s="100" t="s">
        <v>611</v>
      </c>
      <c r="D132" s="317" t="s">
        <v>283</v>
      </c>
      <c r="E132" s="277">
        <v>3</v>
      </c>
      <c r="F132" s="277">
        <f>0*(1.023*1.005-2.3%*15%)*6.99+298*4.09</f>
        <v>1219</v>
      </c>
      <c r="G132" s="299">
        <f>$G$335</f>
        <v>1.1279999999999999</v>
      </c>
      <c r="H132" s="339">
        <f t="shared" si="32"/>
        <v>1375</v>
      </c>
      <c r="I132" s="299">
        <f>Дефляторы!$D$27</f>
        <v>1.0509999999999999</v>
      </c>
      <c r="J132" s="339">
        <f t="shared" si="28"/>
        <v>1445</v>
      </c>
      <c r="K132" s="339">
        <f t="shared" si="29"/>
        <v>1424</v>
      </c>
      <c r="L132" s="372"/>
      <c r="M132" s="372"/>
      <c r="N132" s="372"/>
    </row>
    <row r="133" spans="1:14" s="373" customFormat="1" ht="38.25" hidden="1" outlineLevel="2" x14ac:dyDescent="0.2">
      <c r="A133" s="208" t="s">
        <v>1069</v>
      </c>
      <c r="B133" s="100" t="s">
        <v>616</v>
      </c>
      <c r="C133" s="100" t="s">
        <v>612</v>
      </c>
      <c r="D133" s="317" t="s">
        <v>283</v>
      </c>
      <c r="E133" s="277">
        <v>2</v>
      </c>
      <c r="F133" s="277">
        <f>199*(1.023*1.005-2.3%*15%)*6.99+0*4.09</f>
        <v>1425</v>
      </c>
      <c r="G133" s="299">
        <f>$G$335</f>
        <v>1.1279999999999999</v>
      </c>
      <c r="H133" s="339">
        <f t="shared" si="32"/>
        <v>1607</v>
      </c>
      <c r="I133" s="299">
        <f>Дефляторы!$D$27</f>
        <v>1.0509999999999999</v>
      </c>
      <c r="J133" s="339">
        <f t="shared" si="28"/>
        <v>1689</v>
      </c>
      <c r="K133" s="339">
        <f t="shared" si="29"/>
        <v>1664</v>
      </c>
      <c r="L133" s="375" t="s">
        <v>613</v>
      </c>
      <c r="M133" s="372"/>
      <c r="N133" s="372"/>
    </row>
    <row r="134" spans="1:14" s="373" customFormat="1" ht="15.75" hidden="1" outlineLevel="2" x14ac:dyDescent="0.2">
      <c r="A134" s="208"/>
      <c r="B134" s="100"/>
      <c r="C134" s="267" t="s">
        <v>1008</v>
      </c>
      <c r="D134" s="157"/>
      <c r="E134" s="277"/>
      <c r="F134" s="277"/>
      <c r="G134" s="299"/>
      <c r="H134" s="339"/>
      <c r="I134" s="299">
        <f>Дефляторы!$D$27</f>
        <v>1.0509999999999999</v>
      </c>
      <c r="J134" s="339">
        <f t="shared" si="28"/>
        <v>0</v>
      </c>
      <c r="K134" s="339">
        <f t="shared" si="29"/>
        <v>0</v>
      </c>
      <c r="L134" s="375"/>
      <c r="M134" s="372"/>
      <c r="N134" s="372"/>
    </row>
    <row r="135" spans="1:14" s="373" customFormat="1" ht="25.5" hidden="1" outlineLevel="2" x14ac:dyDescent="0.2">
      <c r="A135" s="208" t="s">
        <v>1070</v>
      </c>
      <c r="B135" s="100" t="s">
        <v>618</v>
      </c>
      <c r="C135" s="100" t="s">
        <v>617</v>
      </c>
      <c r="D135" s="157" t="s">
        <v>250</v>
      </c>
      <c r="E135" s="277">
        <v>1</v>
      </c>
      <c r="F135" s="277">
        <f>15934*(1.023*1.005-2.3%*15%)*6.99+152801*4.09+41</f>
        <v>739123</v>
      </c>
      <c r="G135" s="299">
        <f>$G$335</f>
        <v>1.1279999999999999</v>
      </c>
      <c r="H135" s="339">
        <f t="shared" si="32"/>
        <v>833731</v>
      </c>
      <c r="I135" s="299">
        <f>Дефляторы!$D$27</f>
        <v>1.0509999999999999</v>
      </c>
      <c r="J135" s="339">
        <f t="shared" si="28"/>
        <v>876251</v>
      </c>
      <c r="K135" s="339">
        <f t="shared" si="29"/>
        <v>863495</v>
      </c>
      <c r="L135" s="372"/>
      <c r="M135" s="372"/>
      <c r="N135" s="372"/>
    </row>
    <row r="136" spans="1:14" s="373" customFormat="1" ht="15.75" hidden="1" outlineLevel="2" x14ac:dyDescent="0.2">
      <c r="A136" s="208" t="s">
        <v>1071</v>
      </c>
      <c r="B136" s="100" t="s">
        <v>621</v>
      </c>
      <c r="C136" s="100" t="s">
        <v>620</v>
      </c>
      <c r="D136" s="157" t="s">
        <v>250</v>
      </c>
      <c r="E136" s="277">
        <v>1</v>
      </c>
      <c r="F136" s="277">
        <f>2562*(1.023*1.005-2.3%*15%)*6.99+66296*4.09</f>
        <v>289501</v>
      </c>
      <c r="G136" s="299">
        <f>$G$335</f>
        <v>1.1279999999999999</v>
      </c>
      <c r="H136" s="339">
        <f t="shared" si="32"/>
        <v>326557</v>
      </c>
      <c r="I136" s="299">
        <f>Дефляторы!$D$27</f>
        <v>1.0509999999999999</v>
      </c>
      <c r="J136" s="339">
        <f t="shared" si="28"/>
        <v>343211</v>
      </c>
      <c r="K136" s="339">
        <f t="shared" si="29"/>
        <v>338215</v>
      </c>
      <c r="L136" s="372"/>
      <c r="M136" s="372"/>
      <c r="N136" s="372"/>
    </row>
    <row r="137" spans="1:14" s="373" customFormat="1" ht="15.75" hidden="1" outlineLevel="2" x14ac:dyDescent="0.2">
      <c r="A137" s="208"/>
      <c r="B137" s="100"/>
      <c r="C137" s="267" t="s">
        <v>1009</v>
      </c>
      <c r="D137" s="157"/>
      <c r="E137" s="277"/>
      <c r="F137" s="277"/>
      <c r="G137" s="299"/>
      <c r="H137" s="339"/>
      <c r="I137" s="299">
        <f>Дефляторы!$D$27</f>
        <v>1.0509999999999999</v>
      </c>
      <c r="J137" s="339">
        <f t="shared" si="28"/>
        <v>0</v>
      </c>
      <c r="K137" s="339">
        <f t="shared" si="29"/>
        <v>0</v>
      </c>
      <c r="L137" s="375"/>
      <c r="M137" s="372"/>
      <c r="N137" s="372"/>
    </row>
    <row r="138" spans="1:14" s="373" customFormat="1" ht="15.75" hidden="1" outlineLevel="2" x14ac:dyDescent="0.2">
      <c r="A138" s="208" t="s">
        <v>1072</v>
      </c>
      <c r="B138" s="100" t="s">
        <v>624</v>
      </c>
      <c r="C138" s="100" t="s">
        <v>1010</v>
      </c>
      <c r="D138" s="157" t="s">
        <v>250</v>
      </c>
      <c r="E138" s="277">
        <v>1</v>
      </c>
      <c r="F138" s="277">
        <f>12955*(1.023*1.005-2.3%*15%)*6.99+121938*4.09-20</f>
        <v>591495</v>
      </c>
      <c r="G138" s="299">
        <f>$G$335</f>
        <v>1.1279999999999999</v>
      </c>
      <c r="H138" s="339">
        <f t="shared" si="32"/>
        <v>667206</v>
      </c>
      <c r="I138" s="299">
        <f>Дефляторы!$D$27</f>
        <v>1.0509999999999999</v>
      </c>
      <c r="J138" s="339">
        <f t="shared" si="28"/>
        <v>701234</v>
      </c>
      <c r="K138" s="339">
        <f t="shared" si="29"/>
        <v>691026</v>
      </c>
      <c r="L138" s="372"/>
      <c r="M138" s="372"/>
      <c r="N138" s="372"/>
    </row>
    <row r="139" spans="1:14" s="373" customFormat="1" ht="15.75" hidden="1" outlineLevel="2" x14ac:dyDescent="0.2">
      <c r="A139" s="208" t="s">
        <v>1073</v>
      </c>
      <c r="B139" s="100" t="s">
        <v>626</v>
      </c>
      <c r="C139" s="100" t="s">
        <v>1011</v>
      </c>
      <c r="D139" s="157" t="s">
        <v>250</v>
      </c>
      <c r="E139" s="277">
        <v>1</v>
      </c>
      <c r="F139" s="277">
        <f>1449*(1.023*1.005-2.3%*15%)*6.99+2280*4.09</f>
        <v>19704</v>
      </c>
      <c r="G139" s="299">
        <f>$G$335</f>
        <v>1.1279999999999999</v>
      </c>
      <c r="H139" s="339">
        <f t="shared" si="32"/>
        <v>22226</v>
      </c>
      <c r="I139" s="299">
        <f>Дефляторы!$D$27</f>
        <v>1.0509999999999999</v>
      </c>
      <c r="J139" s="339">
        <f t="shared" si="28"/>
        <v>23360</v>
      </c>
      <c r="K139" s="339">
        <f t="shared" si="29"/>
        <v>23020</v>
      </c>
      <c r="L139" s="372"/>
      <c r="M139" s="372"/>
      <c r="N139" s="372"/>
    </row>
    <row r="140" spans="1:14" s="373" customFormat="1" ht="25.5" hidden="1" outlineLevel="2" x14ac:dyDescent="0.2">
      <c r="A140" s="208"/>
      <c r="B140" s="100"/>
      <c r="C140" s="267" t="s">
        <v>1020</v>
      </c>
      <c r="D140" s="157"/>
      <c r="E140" s="277"/>
      <c r="F140" s="277"/>
      <c r="G140" s="299"/>
      <c r="H140" s="339"/>
      <c r="I140" s="299">
        <f>Дефляторы!$D$27</f>
        <v>1.0509999999999999</v>
      </c>
      <c r="J140" s="339">
        <f t="shared" si="28"/>
        <v>0</v>
      </c>
      <c r="K140" s="339">
        <f t="shared" si="29"/>
        <v>0</v>
      </c>
      <c r="L140" s="372"/>
      <c r="M140" s="372"/>
      <c r="N140" s="372"/>
    </row>
    <row r="141" spans="1:14" s="373" customFormat="1" ht="15.75" hidden="1" outlineLevel="2" x14ac:dyDescent="0.2">
      <c r="A141" s="208" t="s">
        <v>1074</v>
      </c>
      <c r="B141" s="100" t="s">
        <v>670</v>
      </c>
      <c r="C141" s="100" t="s">
        <v>664</v>
      </c>
      <c r="D141" s="157" t="s">
        <v>271</v>
      </c>
      <c r="E141" s="277">
        <v>991</v>
      </c>
      <c r="F141" s="277">
        <f>(3145+346)*(1.023*1.005-2.3%*15%)*6.99</f>
        <v>25004</v>
      </c>
      <c r="G141" s="299">
        <f t="shared" ref="G141:G149" si="33">$G$335</f>
        <v>1.1279999999999999</v>
      </c>
      <c r="H141" s="339">
        <f t="shared" si="32"/>
        <v>28205</v>
      </c>
      <c r="I141" s="299">
        <f>Дефляторы!$D$27</f>
        <v>1.0509999999999999</v>
      </c>
      <c r="J141" s="339">
        <f t="shared" si="28"/>
        <v>29643</v>
      </c>
      <c r="K141" s="339">
        <f t="shared" si="29"/>
        <v>29212</v>
      </c>
      <c r="L141" s="372"/>
      <c r="M141" s="372"/>
      <c r="N141" s="372"/>
    </row>
    <row r="142" spans="1:14" s="373" customFormat="1" ht="38.25" hidden="1" outlineLevel="2" x14ac:dyDescent="0.2">
      <c r="A142" s="208" t="s">
        <v>1075</v>
      </c>
      <c r="B142" s="100" t="s">
        <v>672</v>
      </c>
      <c r="C142" s="100" t="s">
        <v>671</v>
      </c>
      <c r="D142" s="157" t="s">
        <v>262</v>
      </c>
      <c r="E142" s="277">
        <v>1</v>
      </c>
      <c r="F142" s="277">
        <f>(199+3)*(1.023*1.005-2.3%*15%)*6.99</f>
        <v>1447</v>
      </c>
      <c r="G142" s="299">
        <f t="shared" si="33"/>
        <v>1.1279999999999999</v>
      </c>
      <c r="H142" s="339">
        <f t="shared" si="32"/>
        <v>1632</v>
      </c>
      <c r="I142" s="299">
        <f>Дефляторы!$D$27</f>
        <v>1.0509999999999999</v>
      </c>
      <c r="J142" s="339">
        <f t="shared" si="28"/>
        <v>1715</v>
      </c>
      <c r="K142" s="339">
        <f t="shared" si="29"/>
        <v>1690</v>
      </c>
      <c r="L142" s="372"/>
      <c r="M142" s="372"/>
      <c r="N142" s="372"/>
    </row>
    <row r="143" spans="1:14" s="373" customFormat="1" ht="25.5" hidden="1" outlineLevel="2" x14ac:dyDescent="0.2">
      <c r="A143" s="208" t="s">
        <v>1076</v>
      </c>
      <c r="B143" s="100" t="s">
        <v>674</v>
      </c>
      <c r="C143" s="100" t="s">
        <v>666</v>
      </c>
      <c r="D143" s="157" t="s">
        <v>262</v>
      </c>
      <c r="E143" s="277">
        <v>751</v>
      </c>
      <c r="F143" s="277">
        <f>12315*(1.023*1.005-2.3%*15%)*6.99</f>
        <v>88205</v>
      </c>
      <c r="G143" s="299">
        <f t="shared" si="33"/>
        <v>1.1279999999999999</v>
      </c>
      <c r="H143" s="339">
        <f t="shared" si="32"/>
        <v>99495</v>
      </c>
      <c r="I143" s="299">
        <f>Дефляторы!$D$27</f>
        <v>1.0509999999999999</v>
      </c>
      <c r="J143" s="339">
        <f t="shared" si="28"/>
        <v>104569</v>
      </c>
      <c r="K143" s="339">
        <f t="shared" si="29"/>
        <v>103047</v>
      </c>
      <c r="L143" s="372" t="s">
        <v>673</v>
      </c>
      <c r="M143" s="372"/>
      <c r="N143" s="372"/>
    </row>
    <row r="144" spans="1:14" s="373" customFormat="1" ht="25.5" hidden="1" outlineLevel="2" x14ac:dyDescent="0.2">
      <c r="A144" s="208" t="s">
        <v>1077</v>
      </c>
      <c r="B144" s="100" t="s">
        <v>676</v>
      </c>
      <c r="C144" s="100" t="s">
        <v>675</v>
      </c>
      <c r="D144" s="157" t="s">
        <v>262</v>
      </c>
      <c r="E144" s="277">
        <v>751</v>
      </c>
      <c r="F144" s="277">
        <f>2416*(1.023*1.005-2.3%*15%)*6.99</f>
        <v>17304</v>
      </c>
      <c r="G144" s="299">
        <f t="shared" si="33"/>
        <v>1.1279999999999999</v>
      </c>
      <c r="H144" s="339">
        <f t="shared" si="32"/>
        <v>19519</v>
      </c>
      <c r="I144" s="299">
        <f>Дефляторы!$D$27</f>
        <v>1.0509999999999999</v>
      </c>
      <c r="J144" s="339">
        <f t="shared" si="28"/>
        <v>20514</v>
      </c>
      <c r="K144" s="339">
        <f t="shared" si="29"/>
        <v>20216</v>
      </c>
      <c r="L144" s="372"/>
      <c r="M144" s="372"/>
      <c r="N144" s="372"/>
    </row>
    <row r="145" spans="1:14" s="373" customFormat="1" ht="25.5" hidden="1" outlineLevel="2" x14ac:dyDescent="0.2">
      <c r="A145" s="208" t="s">
        <v>1078</v>
      </c>
      <c r="B145" s="100" t="s">
        <v>678</v>
      </c>
      <c r="C145" s="100" t="s">
        <v>677</v>
      </c>
      <c r="D145" s="157" t="s">
        <v>262</v>
      </c>
      <c r="E145" s="277">
        <v>38</v>
      </c>
      <c r="F145" s="277">
        <f>400*(1.023*1.005-2.3%*15%)*6.99</f>
        <v>2865</v>
      </c>
      <c r="G145" s="299">
        <f t="shared" si="33"/>
        <v>1.1279999999999999</v>
      </c>
      <c r="H145" s="339">
        <f t="shared" si="32"/>
        <v>3232</v>
      </c>
      <c r="I145" s="299">
        <f>Дефляторы!$D$27</f>
        <v>1.0509999999999999</v>
      </c>
      <c r="J145" s="339">
        <f t="shared" si="28"/>
        <v>3397</v>
      </c>
      <c r="K145" s="339">
        <f t="shared" si="29"/>
        <v>3348</v>
      </c>
      <c r="L145" s="375" t="s">
        <v>679</v>
      </c>
      <c r="M145" s="372"/>
      <c r="N145" s="372"/>
    </row>
    <row r="146" spans="1:14" s="373" customFormat="1" ht="25.5" hidden="1" outlineLevel="2" x14ac:dyDescent="0.2">
      <c r="A146" s="208" t="s">
        <v>1079</v>
      </c>
      <c r="B146" s="100" t="s">
        <v>680</v>
      </c>
      <c r="C146" s="100" t="s">
        <v>668</v>
      </c>
      <c r="D146" s="157" t="s">
        <v>271</v>
      </c>
      <c r="E146" s="277">
        <v>408</v>
      </c>
      <c r="F146" s="277">
        <f>(132+899+5854+4826-953)*(1.023*1.005-2.3%*15%)*6.99</f>
        <v>77053</v>
      </c>
      <c r="G146" s="299">
        <f t="shared" si="33"/>
        <v>1.1279999999999999</v>
      </c>
      <c r="H146" s="339">
        <f t="shared" si="32"/>
        <v>86916</v>
      </c>
      <c r="I146" s="299">
        <f>Дефляторы!$D$27</f>
        <v>1.0509999999999999</v>
      </c>
      <c r="J146" s="339">
        <f t="shared" si="28"/>
        <v>91349</v>
      </c>
      <c r="K146" s="339">
        <f t="shared" si="29"/>
        <v>90019</v>
      </c>
      <c r="L146" s="375"/>
      <c r="M146" s="372"/>
      <c r="N146" s="372"/>
    </row>
    <row r="147" spans="1:14" s="362" customFormat="1" ht="25.5" outlineLevel="1" collapsed="1" x14ac:dyDescent="0.2">
      <c r="A147" s="282" t="s">
        <v>294</v>
      </c>
      <c r="B147" s="283" t="s">
        <v>303</v>
      </c>
      <c r="C147" s="283" t="s">
        <v>1080</v>
      </c>
      <c r="D147" s="371" t="s">
        <v>283</v>
      </c>
      <c r="E147" s="154">
        <v>1</v>
      </c>
      <c r="F147" s="154">
        <f>27014*(1.023*1.005-2.3%*15%)*6.99</f>
        <v>193485</v>
      </c>
      <c r="G147" s="296">
        <f t="shared" si="33"/>
        <v>1.1279999999999999</v>
      </c>
      <c r="H147" s="337">
        <f t="shared" si="32"/>
        <v>218251</v>
      </c>
      <c r="I147" s="296">
        <f>Дефляторы!$D$27</f>
        <v>1.0509999999999999</v>
      </c>
      <c r="J147" s="337">
        <f t="shared" si="28"/>
        <v>229382</v>
      </c>
      <c r="K147" s="337">
        <f t="shared" si="29"/>
        <v>226043</v>
      </c>
      <c r="L147" s="360"/>
      <c r="M147" s="154">
        <v>2550</v>
      </c>
      <c r="N147" s="360"/>
    </row>
    <row r="148" spans="1:14" s="362" customFormat="1" ht="15.75" outlineLevel="1" x14ac:dyDescent="0.2">
      <c r="A148" s="282" t="s">
        <v>919</v>
      </c>
      <c r="B148" s="283"/>
      <c r="C148" s="283" t="s">
        <v>984</v>
      </c>
      <c r="D148" s="359" t="s">
        <v>250</v>
      </c>
      <c r="E148" s="154">
        <v>1</v>
      </c>
      <c r="F148" s="154">
        <f>F149+F179</f>
        <v>10741334</v>
      </c>
      <c r="G148" s="296">
        <f t="shared" si="33"/>
        <v>1.1279999999999999</v>
      </c>
      <c r="H148" s="337">
        <f>H149+H179</f>
        <v>12116223</v>
      </c>
      <c r="I148" s="296">
        <f>Дефляторы!$D$27</f>
        <v>1.0509999999999999</v>
      </c>
      <c r="J148" s="337">
        <f>J149+J179</f>
        <v>12734149</v>
      </c>
      <c r="K148" s="337">
        <f>K149+K179</f>
        <v>12548772</v>
      </c>
      <c r="L148" s="360"/>
      <c r="M148" s="360"/>
      <c r="N148" s="360"/>
    </row>
    <row r="149" spans="1:14" s="196" customFormat="1" ht="15.75" hidden="1" outlineLevel="2" x14ac:dyDescent="0.2">
      <c r="A149" s="208" t="s">
        <v>1081</v>
      </c>
      <c r="B149" s="93"/>
      <c r="C149" s="93" t="s">
        <v>990</v>
      </c>
      <c r="D149" s="317" t="s">
        <v>250</v>
      </c>
      <c r="E149" s="158">
        <v>1</v>
      </c>
      <c r="F149" s="158">
        <f>SUM(F150:F178)</f>
        <v>2604338</v>
      </c>
      <c r="G149" s="298">
        <f t="shared" si="33"/>
        <v>1.1279999999999999</v>
      </c>
      <c r="H149" s="338">
        <f>SUM(H150:H178)</f>
        <v>2937693</v>
      </c>
      <c r="I149" s="298">
        <f>Дефляторы!$D$27</f>
        <v>1.0509999999999999</v>
      </c>
      <c r="J149" s="338">
        <f>SUM(J150:J178)</f>
        <v>3087514</v>
      </c>
      <c r="K149" s="338">
        <f>SUM(K150:K178)</f>
        <v>3042568</v>
      </c>
      <c r="L149" s="195"/>
      <c r="M149" s="195"/>
      <c r="N149" s="195"/>
    </row>
    <row r="150" spans="1:14" s="390" customFormat="1" ht="15.75" hidden="1" outlineLevel="3" x14ac:dyDescent="0.2">
      <c r="A150" s="258"/>
      <c r="B150" s="132"/>
      <c r="C150" s="192" t="s">
        <v>429</v>
      </c>
      <c r="D150" s="314"/>
      <c r="E150" s="278"/>
      <c r="F150" s="278"/>
      <c r="G150" s="387"/>
      <c r="H150" s="388"/>
      <c r="I150" s="387">
        <f>Дефляторы!$D$27</f>
        <v>1.0509999999999999</v>
      </c>
      <c r="J150" s="388"/>
      <c r="K150" s="388"/>
      <c r="L150" s="194"/>
      <c r="M150" s="194"/>
      <c r="N150" s="194"/>
    </row>
    <row r="151" spans="1:14" s="390" customFormat="1" ht="15.75" hidden="1" outlineLevel="3" x14ac:dyDescent="0.2">
      <c r="A151" s="191" t="s">
        <v>1082</v>
      </c>
      <c r="B151" s="132" t="s">
        <v>997</v>
      </c>
      <c r="C151" s="132" t="s">
        <v>994</v>
      </c>
      <c r="D151" s="314" t="s">
        <v>262</v>
      </c>
      <c r="E151" s="315">
        <f>0.61</f>
        <v>0.61</v>
      </c>
      <c r="F151" s="233">
        <f>(784+1431+42+16+214)*(1.023*1.005-2.3%*15%)*6.99</f>
        <v>17813</v>
      </c>
      <c r="G151" s="387">
        <f>$G$335</f>
        <v>1.1279999999999999</v>
      </c>
      <c r="H151" s="388">
        <f t="shared" si="32"/>
        <v>20093</v>
      </c>
      <c r="I151" s="387">
        <f>Дефляторы!$D$27</f>
        <v>1.0509999999999999</v>
      </c>
      <c r="J151" s="388">
        <f t="shared" ref="J151:J178" si="34">H151*I151</f>
        <v>21118</v>
      </c>
      <c r="K151" s="388">
        <f t="shared" ref="K151:K178" si="35">H151+(J151-H151)*(1-30/100)</f>
        <v>20811</v>
      </c>
      <c r="L151" s="194"/>
      <c r="M151" s="194"/>
      <c r="N151" s="194"/>
    </row>
    <row r="152" spans="1:14" s="390" customFormat="1" ht="15.75" hidden="1" outlineLevel="3" x14ac:dyDescent="0.2">
      <c r="A152" s="191" t="s">
        <v>1083</v>
      </c>
      <c r="B152" s="132" t="s">
        <v>998</v>
      </c>
      <c r="C152" s="132" t="s">
        <v>995</v>
      </c>
      <c r="D152" s="314" t="s">
        <v>996</v>
      </c>
      <c r="E152" s="399">
        <f>0.0966</f>
        <v>9.6600000000000005E-2</v>
      </c>
      <c r="F152" s="233">
        <f>(84+711+65)*(1.023*1.005-2.3%*15%)*6.99</f>
        <v>6160</v>
      </c>
      <c r="G152" s="387">
        <f>$G$335</f>
        <v>1.1279999999999999</v>
      </c>
      <c r="H152" s="388">
        <f t="shared" si="32"/>
        <v>6948</v>
      </c>
      <c r="I152" s="387">
        <f>Дефляторы!$D$27</f>
        <v>1.0509999999999999</v>
      </c>
      <c r="J152" s="388">
        <f t="shared" si="34"/>
        <v>7302</v>
      </c>
      <c r="K152" s="388">
        <f t="shared" si="35"/>
        <v>7196</v>
      </c>
      <c r="L152" s="194"/>
      <c r="M152" s="194"/>
      <c r="N152" s="194"/>
    </row>
    <row r="153" spans="1:14" s="390" customFormat="1" ht="15.75" hidden="1" outlineLevel="3" x14ac:dyDescent="0.2">
      <c r="A153" s="191"/>
      <c r="B153" s="132"/>
      <c r="C153" s="192" t="s">
        <v>993</v>
      </c>
      <c r="D153" s="315"/>
      <c r="E153" s="233"/>
      <c r="F153" s="233"/>
      <c r="G153" s="387"/>
      <c r="H153" s="388"/>
      <c r="I153" s="387">
        <f>Дефляторы!$D$27</f>
        <v>1.0509999999999999</v>
      </c>
      <c r="J153" s="388">
        <f t="shared" si="34"/>
        <v>0</v>
      </c>
      <c r="K153" s="388">
        <f t="shared" si="35"/>
        <v>0</v>
      </c>
      <c r="L153" s="194"/>
      <c r="M153" s="194"/>
      <c r="N153" s="194"/>
    </row>
    <row r="154" spans="1:14" s="390" customFormat="1" ht="102" hidden="1" outlineLevel="3" x14ac:dyDescent="0.2">
      <c r="A154" s="191" t="s">
        <v>1084</v>
      </c>
      <c r="B154" s="132" t="s">
        <v>437</v>
      </c>
      <c r="C154" s="132" t="s">
        <v>432</v>
      </c>
      <c r="D154" s="315" t="s">
        <v>283</v>
      </c>
      <c r="E154" s="233">
        <v>1</v>
      </c>
      <c r="F154" s="233">
        <f>580*(1.023*1.005-2.3%*15%)*6.99+246606*4.09-12</f>
        <v>1012761</v>
      </c>
      <c r="G154" s="387">
        <f t="shared" ref="G154:G168" si="36">$G$335</f>
        <v>1.1279999999999999</v>
      </c>
      <c r="H154" s="388">
        <f t="shared" si="32"/>
        <v>1142394</v>
      </c>
      <c r="I154" s="387">
        <f>Дефляторы!$D$27</f>
        <v>1.0509999999999999</v>
      </c>
      <c r="J154" s="388">
        <f t="shared" si="34"/>
        <v>1200656</v>
      </c>
      <c r="K154" s="388">
        <f t="shared" si="35"/>
        <v>1183177</v>
      </c>
      <c r="L154" s="389" t="s">
        <v>789</v>
      </c>
      <c r="M154" s="194"/>
      <c r="N154" s="194"/>
    </row>
    <row r="155" spans="1:14" s="390" customFormat="1" ht="25.5" hidden="1" outlineLevel="3" x14ac:dyDescent="0.2">
      <c r="A155" s="191" t="s">
        <v>1085</v>
      </c>
      <c r="B155" s="132" t="s">
        <v>436</v>
      </c>
      <c r="C155" s="132" t="s">
        <v>435</v>
      </c>
      <c r="D155" s="315" t="s">
        <v>271</v>
      </c>
      <c r="E155" s="233">
        <v>40</v>
      </c>
      <c r="F155" s="233">
        <f>(39265-4881-9346)*(1.023*1.005-2.3%*15%)*6.99</f>
        <v>179332</v>
      </c>
      <c r="G155" s="387">
        <f t="shared" si="36"/>
        <v>1.1279999999999999</v>
      </c>
      <c r="H155" s="388">
        <f t="shared" si="32"/>
        <v>202286</v>
      </c>
      <c r="I155" s="387">
        <f>Дефляторы!$D$27</f>
        <v>1.0509999999999999</v>
      </c>
      <c r="J155" s="388">
        <f t="shared" si="34"/>
        <v>212603</v>
      </c>
      <c r="K155" s="388">
        <f t="shared" si="35"/>
        <v>209508</v>
      </c>
      <c r="L155" s="194"/>
      <c r="M155" s="194"/>
      <c r="N155" s="194"/>
    </row>
    <row r="156" spans="1:14" s="390" customFormat="1" ht="63.75" hidden="1" outlineLevel="3" x14ac:dyDescent="0.2">
      <c r="A156" s="191" t="s">
        <v>1086</v>
      </c>
      <c r="B156" s="132" t="s">
        <v>434</v>
      </c>
      <c r="C156" s="132" t="s">
        <v>433</v>
      </c>
      <c r="D156" s="315" t="s">
        <v>363</v>
      </c>
      <c r="E156" s="278">
        <f>49.8</f>
        <v>49.8</v>
      </c>
      <c r="F156" s="233">
        <f>(4881+9346)*(1.023*1.005-2.3%*15%)*6.99</f>
        <v>101900</v>
      </c>
      <c r="G156" s="387">
        <f t="shared" si="36"/>
        <v>1.1279999999999999</v>
      </c>
      <c r="H156" s="388">
        <f t="shared" si="32"/>
        <v>114943</v>
      </c>
      <c r="I156" s="387">
        <f>Дефляторы!$D$27</f>
        <v>1.0509999999999999</v>
      </c>
      <c r="J156" s="388">
        <f t="shared" si="34"/>
        <v>120805</v>
      </c>
      <c r="K156" s="388">
        <f t="shared" si="35"/>
        <v>119046</v>
      </c>
      <c r="L156" s="389" t="s">
        <v>790</v>
      </c>
      <c r="M156" s="194"/>
      <c r="N156" s="194"/>
    </row>
    <row r="157" spans="1:14" s="390" customFormat="1" ht="15.75" hidden="1" outlineLevel="3" x14ac:dyDescent="0.2">
      <c r="A157" s="191" t="s">
        <v>1087</v>
      </c>
      <c r="B157" s="132" t="s">
        <v>439</v>
      </c>
      <c r="C157" s="132" t="s">
        <v>438</v>
      </c>
      <c r="D157" s="315" t="s">
        <v>271</v>
      </c>
      <c r="E157" s="233">
        <v>33</v>
      </c>
      <c r="F157" s="233">
        <f>(9813+181)*(1.023*1.005-2.3%*15%)*6.99</f>
        <v>71581</v>
      </c>
      <c r="G157" s="387">
        <f t="shared" si="36"/>
        <v>1.1279999999999999</v>
      </c>
      <c r="H157" s="388">
        <f t="shared" si="32"/>
        <v>80743</v>
      </c>
      <c r="I157" s="387">
        <f>Дефляторы!$D$27</f>
        <v>1.0509999999999999</v>
      </c>
      <c r="J157" s="388">
        <f t="shared" si="34"/>
        <v>84861</v>
      </c>
      <c r="K157" s="388">
        <f t="shared" si="35"/>
        <v>83626</v>
      </c>
      <c r="L157" s="194"/>
      <c r="M157" s="194"/>
      <c r="N157" s="194"/>
    </row>
    <row r="158" spans="1:14" s="390" customFormat="1" ht="15.75" hidden="1" outlineLevel="3" x14ac:dyDescent="0.2">
      <c r="A158" s="191" t="s">
        <v>1088</v>
      </c>
      <c r="B158" s="132" t="s">
        <v>441</v>
      </c>
      <c r="C158" s="132" t="s">
        <v>440</v>
      </c>
      <c r="D158" s="315" t="s">
        <v>271</v>
      </c>
      <c r="E158" s="233">
        <v>7</v>
      </c>
      <c r="F158" s="233">
        <f>(6066+25374+134)*(1.023*1.005-2.3%*15%)*6.99</f>
        <v>226146</v>
      </c>
      <c r="G158" s="387">
        <f t="shared" si="36"/>
        <v>1.1279999999999999</v>
      </c>
      <c r="H158" s="388">
        <f t="shared" si="32"/>
        <v>255093</v>
      </c>
      <c r="I158" s="387">
        <f>Дефляторы!$D$27</f>
        <v>1.0509999999999999</v>
      </c>
      <c r="J158" s="388">
        <f t="shared" si="34"/>
        <v>268103</v>
      </c>
      <c r="K158" s="388">
        <f t="shared" si="35"/>
        <v>264200</v>
      </c>
      <c r="L158" s="194"/>
      <c r="M158" s="194"/>
      <c r="N158" s="194"/>
    </row>
    <row r="159" spans="1:14" s="390" customFormat="1" ht="15.75" hidden="1" outlineLevel="3" x14ac:dyDescent="0.2">
      <c r="A159" s="191" t="s">
        <v>1089</v>
      </c>
      <c r="B159" s="132" t="s">
        <v>442</v>
      </c>
      <c r="C159" s="132" t="s">
        <v>443</v>
      </c>
      <c r="D159" s="315" t="s">
        <v>250</v>
      </c>
      <c r="E159" s="233">
        <v>1</v>
      </c>
      <c r="F159" s="233">
        <f>7415*(1.023*1.005-2.3%*15%)*6.99</f>
        <v>53109</v>
      </c>
      <c r="G159" s="387">
        <f t="shared" si="36"/>
        <v>1.1279999999999999</v>
      </c>
      <c r="H159" s="388">
        <f t="shared" si="32"/>
        <v>59907</v>
      </c>
      <c r="I159" s="387">
        <f>Дефляторы!$D$27</f>
        <v>1.0509999999999999</v>
      </c>
      <c r="J159" s="388">
        <f t="shared" si="34"/>
        <v>62962</v>
      </c>
      <c r="K159" s="388">
        <f t="shared" si="35"/>
        <v>62046</v>
      </c>
      <c r="L159" s="194"/>
      <c r="M159" s="194"/>
      <c r="N159" s="194"/>
    </row>
    <row r="160" spans="1:14" s="390" customFormat="1" ht="51" hidden="1" outlineLevel="3" x14ac:dyDescent="0.2">
      <c r="A160" s="191" t="s">
        <v>1090</v>
      </c>
      <c r="B160" s="132" t="s">
        <v>446</v>
      </c>
      <c r="C160" s="132" t="s">
        <v>444</v>
      </c>
      <c r="D160" s="315" t="s">
        <v>363</v>
      </c>
      <c r="E160" s="278">
        <f>3.8</f>
        <v>3.8</v>
      </c>
      <c r="F160" s="233">
        <f>2020*(1.023*1.005-2.3%*15%)*6.99</f>
        <v>14468</v>
      </c>
      <c r="G160" s="387">
        <f t="shared" si="36"/>
        <v>1.1279999999999999</v>
      </c>
      <c r="H160" s="388">
        <f t="shared" si="32"/>
        <v>16320</v>
      </c>
      <c r="I160" s="387">
        <f>Дефляторы!$D$27</f>
        <v>1.0509999999999999</v>
      </c>
      <c r="J160" s="388">
        <f t="shared" si="34"/>
        <v>17152</v>
      </c>
      <c r="K160" s="388">
        <f t="shared" si="35"/>
        <v>16902</v>
      </c>
      <c r="L160" s="389" t="s">
        <v>791</v>
      </c>
      <c r="M160" s="194"/>
      <c r="N160" s="194"/>
    </row>
    <row r="161" spans="1:14" s="390" customFormat="1" ht="15.75" hidden="1" outlineLevel="3" x14ac:dyDescent="0.2">
      <c r="A161" s="191" t="s">
        <v>1091</v>
      </c>
      <c r="B161" s="132" t="s">
        <v>447</v>
      </c>
      <c r="C161" s="132" t="s">
        <v>445</v>
      </c>
      <c r="D161" s="315" t="s">
        <v>305</v>
      </c>
      <c r="E161" s="233">
        <v>1</v>
      </c>
      <c r="F161" s="233">
        <f>(425+12736)*(1.023*1.005-2.3%*15%)*6.99</f>
        <v>94264</v>
      </c>
      <c r="G161" s="387">
        <f t="shared" si="36"/>
        <v>1.1279999999999999</v>
      </c>
      <c r="H161" s="388">
        <f t="shared" si="32"/>
        <v>106330</v>
      </c>
      <c r="I161" s="387">
        <f>Дефляторы!$D$27</f>
        <v>1.0509999999999999</v>
      </c>
      <c r="J161" s="388">
        <f t="shared" si="34"/>
        <v>111753</v>
      </c>
      <c r="K161" s="388">
        <f t="shared" si="35"/>
        <v>110126</v>
      </c>
      <c r="L161" s="389"/>
      <c r="M161" s="194"/>
      <c r="N161" s="194"/>
    </row>
    <row r="162" spans="1:14" s="390" customFormat="1" ht="15.75" hidden="1" outlineLevel="3" x14ac:dyDescent="0.2">
      <c r="A162" s="191" t="s">
        <v>1092</v>
      </c>
      <c r="B162" s="132" t="s">
        <v>449</v>
      </c>
      <c r="C162" s="132" t="s">
        <v>448</v>
      </c>
      <c r="D162" s="315" t="s">
        <v>305</v>
      </c>
      <c r="E162" s="233">
        <v>2</v>
      </c>
      <c r="F162" s="233">
        <f>(301+7132)*(1.023*1.005-2.3%*15%)*6.99</f>
        <v>53238</v>
      </c>
      <c r="G162" s="387">
        <f t="shared" si="36"/>
        <v>1.1279999999999999</v>
      </c>
      <c r="H162" s="388">
        <f t="shared" si="32"/>
        <v>60052</v>
      </c>
      <c r="I162" s="387">
        <f>Дефляторы!$D$27</f>
        <v>1.0509999999999999</v>
      </c>
      <c r="J162" s="388">
        <f t="shared" si="34"/>
        <v>63115</v>
      </c>
      <c r="K162" s="388">
        <f t="shared" si="35"/>
        <v>62196</v>
      </c>
      <c r="L162" s="389"/>
      <c r="M162" s="194"/>
      <c r="N162" s="194"/>
    </row>
    <row r="163" spans="1:14" s="390" customFormat="1" ht="15.75" hidden="1" outlineLevel="3" x14ac:dyDescent="0.2">
      <c r="A163" s="191" t="s">
        <v>1093</v>
      </c>
      <c r="B163" s="132" t="s">
        <v>451</v>
      </c>
      <c r="C163" s="132" t="s">
        <v>450</v>
      </c>
      <c r="D163" s="315" t="s">
        <v>363</v>
      </c>
      <c r="E163" s="278">
        <v>4.2</v>
      </c>
      <c r="F163" s="233">
        <f>(168+153)*(1.023*1.005-2.3%*15%)*6.99</f>
        <v>2299</v>
      </c>
      <c r="G163" s="387">
        <f t="shared" si="36"/>
        <v>1.1279999999999999</v>
      </c>
      <c r="H163" s="388">
        <f t="shared" si="32"/>
        <v>2593</v>
      </c>
      <c r="I163" s="387">
        <f>Дефляторы!$D$27</f>
        <v>1.0509999999999999</v>
      </c>
      <c r="J163" s="388">
        <f t="shared" si="34"/>
        <v>2725</v>
      </c>
      <c r="K163" s="388">
        <f t="shared" si="35"/>
        <v>2685</v>
      </c>
      <c r="L163" s="389"/>
      <c r="M163" s="194"/>
      <c r="N163" s="194"/>
    </row>
    <row r="164" spans="1:14" s="390" customFormat="1" ht="38.25" hidden="1" outlineLevel="3" x14ac:dyDescent="0.2">
      <c r="A164" s="191" t="s">
        <v>1094</v>
      </c>
      <c r="B164" s="132" t="s">
        <v>453</v>
      </c>
      <c r="C164" s="132" t="s">
        <v>452</v>
      </c>
      <c r="D164" s="315" t="s">
        <v>305</v>
      </c>
      <c r="E164" s="233">
        <v>1</v>
      </c>
      <c r="F164" s="233">
        <f>(316+3778+95+93+49+371)*(1.023*1.005-2.3%*15%)*6.99</f>
        <v>33678</v>
      </c>
      <c r="G164" s="387">
        <f t="shared" si="36"/>
        <v>1.1279999999999999</v>
      </c>
      <c r="H164" s="388">
        <f t="shared" si="32"/>
        <v>37989</v>
      </c>
      <c r="I164" s="387">
        <f>Дефляторы!$D$27</f>
        <v>1.0509999999999999</v>
      </c>
      <c r="J164" s="388">
        <f t="shared" si="34"/>
        <v>39926</v>
      </c>
      <c r="K164" s="388">
        <f t="shared" si="35"/>
        <v>39345</v>
      </c>
      <c r="L164" s="389"/>
      <c r="M164" s="194"/>
      <c r="N164" s="194"/>
    </row>
    <row r="165" spans="1:14" s="390" customFormat="1" ht="25.5" hidden="1" outlineLevel="3" x14ac:dyDescent="0.2">
      <c r="A165" s="191" t="s">
        <v>1095</v>
      </c>
      <c r="B165" s="132" t="s">
        <v>454</v>
      </c>
      <c r="C165" s="132" t="s">
        <v>455</v>
      </c>
      <c r="D165" s="315" t="s">
        <v>271</v>
      </c>
      <c r="E165" s="233">
        <v>7</v>
      </c>
      <c r="F165" s="233">
        <f>3896*(1.023*1.005-2.3%*15%)*6.99</f>
        <v>27905</v>
      </c>
      <c r="G165" s="387">
        <f t="shared" si="36"/>
        <v>1.1279999999999999</v>
      </c>
      <c r="H165" s="388">
        <f t="shared" si="32"/>
        <v>31477</v>
      </c>
      <c r="I165" s="387">
        <f>Дефляторы!$D$27</f>
        <v>1.0509999999999999</v>
      </c>
      <c r="J165" s="388">
        <f t="shared" si="34"/>
        <v>33082</v>
      </c>
      <c r="K165" s="388">
        <f t="shared" si="35"/>
        <v>32601</v>
      </c>
      <c r="L165" s="389"/>
      <c r="M165" s="194"/>
      <c r="N165" s="194"/>
    </row>
    <row r="166" spans="1:14" s="390" customFormat="1" ht="15.75" hidden="1" outlineLevel="3" x14ac:dyDescent="0.2">
      <c r="A166" s="191" t="s">
        <v>1096</v>
      </c>
      <c r="B166" s="132" t="s">
        <v>457</v>
      </c>
      <c r="C166" s="132" t="s">
        <v>456</v>
      </c>
      <c r="D166" s="315" t="s">
        <v>271</v>
      </c>
      <c r="E166" s="233">
        <v>30</v>
      </c>
      <c r="F166" s="233">
        <f>4170*(1.023*1.005-2.3%*15%)*6.99</f>
        <v>29867</v>
      </c>
      <c r="G166" s="387">
        <f t="shared" si="36"/>
        <v>1.1279999999999999</v>
      </c>
      <c r="H166" s="388">
        <f t="shared" si="32"/>
        <v>33690</v>
      </c>
      <c r="I166" s="387">
        <f>Дефляторы!$D$27</f>
        <v>1.0509999999999999</v>
      </c>
      <c r="J166" s="388">
        <f t="shared" si="34"/>
        <v>35408</v>
      </c>
      <c r="K166" s="388">
        <f t="shared" si="35"/>
        <v>34893</v>
      </c>
      <c r="L166" s="389"/>
      <c r="M166" s="194"/>
      <c r="N166" s="194"/>
    </row>
    <row r="167" spans="1:14" s="390" customFormat="1" ht="15.75" hidden="1" outlineLevel="3" x14ac:dyDescent="0.2">
      <c r="A167" s="191" t="s">
        <v>1097</v>
      </c>
      <c r="B167" s="132" t="s">
        <v>459</v>
      </c>
      <c r="C167" s="132" t="s">
        <v>458</v>
      </c>
      <c r="D167" s="315" t="s">
        <v>271</v>
      </c>
      <c r="E167" s="233">
        <v>7</v>
      </c>
      <c r="F167" s="233">
        <f>823*(1.023*1.005-2.3%*15%)*6.99</f>
        <v>5895</v>
      </c>
      <c r="G167" s="387">
        <f t="shared" si="36"/>
        <v>1.1279999999999999</v>
      </c>
      <c r="H167" s="388">
        <f t="shared" si="32"/>
        <v>6650</v>
      </c>
      <c r="I167" s="387">
        <f>Дефляторы!$D$27</f>
        <v>1.0509999999999999</v>
      </c>
      <c r="J167" s="388">
        <f t="shared" si="34"/>
        <v>6989</v>
      </c>
      <c r="K167" s="388">
        <f t="shared" si="35"/>
        <v>6887</v>
      </c>
      <c r="L167" s="389"/>
      <c r="M167" s="194"/>
      <c r="N167" s="194"/>
    </row>
    <row r="168" spans="1:14" s="390" customFormat="1" ht="15.75" hidden="1" outlineLevel="3" x14ac:dyDescent="0.2">
      <c r="A168" s="191" t="s">
        <v>1098</v>
      </c>
      <c r="B168" s="132" t="s">
        <v>462</v>
      </c>
      <c r="C168" s="132" t="s">
        <v>461</v>
      </c>
      <c r="D168" s="315" t="s">
        <v>305</v>
      </c>
      <c r="E168" s="233">
        <v>2</v>
      </c>
      <c r="F168" s="233">
        <f>1058*(1.023*1.005-2.3%*15%)*6.99+15</f>
        <v>7593</v>
      </c>
      <c r="G168" s="387">
        <f t="shared" si="36"/>
        <v>1.1279999999999999</v>
      </c>
      <c r="H168" s="388">
        <f t="shared" si="32"/>
        <v>8565</v>
      </c>
      <c r="I168" s="387">
        <f>Дефляторы!$D$27</f>
        <v>1.0509999999999999</v>
      </c>
      <c r="J168" s="388">
        <f t="shared" si="34"/>
        <v>9002</v>
      </c>
      <c r="K168" s="388">
        <f t="shared" si="35"/>
        <v>8871</v>
      </c>
      <c r="L168" s="194"/>
      <c r="M168" s="194"/>
      <c r="N168" s="194"/>
    </row>
    <row r="169" spans="1:14" s="390" customFormat="1" ht="15.75" hidden="1" outlineLevel="3" x14ac:dyDescent="0.2">
      <c r="A169" s="191"/>
      <c r="B169" s="132"/>
      <c r="C169" s="192" t="s">
        <v>992</v>
      </c>
      <c r="D169" s="315"/>
      <c r="E169" s="233"/>
      <c r="F169" s="233"/>
      <c r="G169" s="387"/>
      <c r="H169" s="388"/>
      <c r="I169" s="387">
        <f>Дефляторы!$D$27</f>
        <v>1.0509999999999999</v>
      </c>
      <c r="J169" s="388">
        <f t="shared" si="34"/>
        <v>0</v>
      </c>
      <c r="K169" s="388">
        <f t="shared" si="35"/>
        <v>0</v>
      </c>
      <c r="L169" s="194"/>
      <c r="M169" s="194"/>
      <c r="N169" s="194"/>
    </row>
    <row r="170" spans="1:14" s="390" customFormat="1" ht="25.5" hidden="1" outlineLevel="3" x14ac:dyDescent="0.2">
      <c r="A170" s="191" t="s">
        <v>1099</v>
      </c>
      <c r="B170" s="132" t="s">
        <v>464</v>
      </c>
      <c r="C170" s="132" t="s">
        <v>463</v>
      </c>
      <c r="D170" s="315" t="s">
        <v>283</v>
      </c>
      <c r="E170" s="233">
        <v>1</v>
      </c>
      <c r="F170" s="233">
        <f>309*(1.023*1.005-2.3%*15%)*6.99+23057*4.09</f>
        <v>96516</v>
      </c>
      <c r="G170" s="387">
        <f>$G$335</f>
        <v>1.1279999999999999</v>
      </c>
      <c r="H170" s="388">
        <f t="shared" si="32"/>
        <v>108870</v>
      </c>
      <c r="I170" s="387">
        <f>Дефляторы!$D$27</f>
        <v>1.0509999999999999</v>
      </c>
      <c r="J170" s="388">
        <f t="shared" si="34"/>
        <v>114422</v>
      </c>
      <c r="K170" s="388">
        <f t="shared" si="35"/>
        <v>112756</v>
      </c>
      <c r="L170" s="194"/>
      <c r="M170" s="194"/>
      <c r="N170" s="194"/>
    </row>
    <row r="171" spans="1:14" s="390" customFormat="1" ht="25.5" hidden="1" outlineLevel="3" x14ac:dyDescent="0.2">
      <c r="A171" s="191" t="s">
        <v>1100</v>
      </c>
      <c r="B171" s="132" t="s">
        <v>466</v>
      </c>
      <c r="C171" s="132" t="s">
        <v>465</v>
      </c>
      <c r="D171" s="315" t="s">
        <v>283</v>
      </c>
      <c r="E171" s="233">
        <v>1</v>
      </c>
      <c r="F171" s="233">
        <f>1724*(1.023*1.005-2.3%*15%)*6.99+38903*4.09+7</f>
        <v>171468</v>
      </c>
      <c r="G171" s="387">
        <f>$G$335</f>
        <v>1.1279999999999999</v>
      </c>
      <c r="H171" s="388">
        <f t="shared" si="32"/>
        <v>193416</v>
      </c>
      <c r="I171" s="387">
        <f>Дефляторы!$D$27</f>
        <v>1.0509999999999999</v>
      </c>
      <c r="J171" s="388">
        <f t="shared" si="34"/>
        <v>203280</v>
      </c>
      <c r="K171" s="388">
        <f t="shared" si="35"/>
        <v>200321</v>
      </c>
      <c r="L171" s="194"/>
      <c r="M171" s="194"/>
      <c r="N171" s="194"/>
    </row>
    <row r="172" spans="1:14" s="390" customFormat="1" ht="15.75" hidden="1" outlineLevel="3" x14ac:dyDescent="0.2">
      <c r="A172" s="191" t="s">
        <v>1101</v>
      </c>
      <c r="B172" s="132" t="s">
        <v>468</v>
      </c>
      <c r="C172" s="132" t="s">
        <v>467</v>
      </c>
      <c r="D172" s="315" t="s">
        <v>250</v>
      </c>
      <c r="E172" s="233">
        <v>1</v>
      </c>
      <c r="F172" s="233">
        <f>4686*(1.023*1.005-2.3%*15%)*6.99</f>
        <v>33563</v>
      </c>
      <c r="G172" s="387">
        <f>$G$335</f>
        <v>1.1279999999999999</v>
      </c>
      <c r="H172" s="388">
        <f t="shared" si="32"/>
        <v>37859</v>
      </c>
      <c r="I172" s="387">
        <f>Дефляторы!$D$27</f>
        <v>1.0509999999999999</v>
      </c>
      <c r="J172" s="388">
        <f t="shared" si="34"/>
        <v>39790</v>
      </c>
      <c r="K172" s="388">
        <f t="shared" si="35"/>
        <v>39211</v>
      </c>
      <c r="L172" s="194"/>
      <c r="M172" s="194"/>
      <c r="N172" s="194"/>
    </row>
    <row r="173" spans="1:14" s="390" customFormat="1" ht="15.75" hidden="1" outlineLevel="3" x14ac:dyDescent="0.2">
      <c r="A173" s="191" t="s">
        <v>1102</v>
      </c>
      <c r="B173" s="132" t="s">
        <v>470</v>
      </c>
      <c r="C173" s="132" t="s">
        <v>469</v>
      </c>
      <c r="D173" s="315" t="s">
        <v>250</v>
      </c>
      <c r="E173" s="233">
        <v>1</v>
      </c>
      <c r="F173" s="233">
        <f>19618*(1.023*1.005-2.3%*15%)*6.99</f>
        <v>140512</v>
      </c>
      <c r="G173" s="387">
        <f>$G$335</f>
        <v>1.1279999999999999</v>
      </c>
      <c r="H173" s="388">
        <f t="shared" si="32"/>
        <v>158498</v>
      </c>
      <c r="I173" s="387">
        <f>Дефляторы!$D$27</f>
        <v>1.0509999999999999</v>
      </c>
      <c r="J173" s="388">
        <f t="shared" si="34"/>
        <v>166581</v>
      </c>
      <c r="K173" s="388">
        <f t="shared" si="35"/>
        <v>164156</v>
      </c>
      <c r="L173" s="194"/>
      <c r="M173" s="194"/>
      <c r="N173" s="194"/>
    </row>
    <row r="174" spans="1:14" s="390" customFormat="1" ht="15.75" hidden="1" outlineLevel="3" x14ac:dyDescent="0.2">
      <c r="A174" s="191" t="s">
        <v>1103</v>
      </c>
      <c r="B174" s="132" t="s">
        <v>472</v>
      </c>
      <c r="C174" s="132" t="s">
        <v>471</v>
      </c>
      <c r="D174" s="315" t="s">
        <v>250</v>
      </c>
      <c r="E174" s="233">
        <v>1</v>
      </c>
      <c r="F174" s="233">
        <f>25582*(1.023*1.005-2.3%*15%)*6.99</f>
        <v>183229</v>
      </c>
      <c r="G174" s="387">
        <f>$G$335</f>
        <v>1.1279999999999999</v>
      </c>
      <c r="H174" s="388">
        <f t="shared" si="32"/>
        <v>206682</v>
      </c>
      <c r="I174" s="387">
        <f>Дефляторы!$D$27</f>
        <v>1.0509999999999999</v>
      </c>
      <c r="J174" s="388">
        <f t="shared" si="34"/>
        <v>217223</v>
      </c>
      <c r="K174" s="388">
        <f t="shared" si="35"/>
        <v>214061</v>
      </c>
      <c r="L174" s="194"/>
      <c r="M174" s="194"/>
      <c r="N174" s="194"/>
    </row>
    <row r="175" spans="1:14" s="390" customFormat="1" ht="15.75" hidden="1" outlineLevel="3" x14ac:dyDescent="0.2">
      <c r="A175" s="191"/>
      <c r="B175" s="132"/>
      <c r="C175" s="192" t="s">
        <v>999</v>
      </c>
      <c r="D175" s="315"/>
      <c r="E175" s="233"/>
      <c r="F175" s="233"/>
      <c r="G175" s="387"/>
      <c r="H175" s="388"/>
      <c r="I175" s="387">
        <f>Дефляторы!$D$27</f>
        <v>1.0509999999999999</v>
      </c>
      <c r="J175" s="388">
        <f t="shared" si="34"/>
        <v>0</v>
      </c>
      <c r="K175" s="388">
        <f t="shared" si="35"/>
        <v>0</v>
      </c>
      <c r="L175" s="194"/>
      <c r="M175" s="194"/>
      <c r="N175" s="194"/>
    </row>
    <row r="176" spans="1:14" s="390" customFormat="1" ht="63.75" hidden="1" outlineLevel="3" x14ac:dyDescent="0.2">
      <c r="A176" s="191" t="s">
        <v>1104</v>
      </c>
      <c r="B176" s="132" t="s">
        <v>474</v>
      </c>
      <c r="C176" s="132" t="s">
        <v>473</v>
      </c>
      <c r="D176" s="315" t="s">
        <v>283</v>
      </c>
      <c r="E176" s="233">
        <v>1</v>
      </c>
      <c r="F176" s="233">
        <f>(138/3+3643)*(1.023*1.005-2.3%*15%)*6.99+0*4.09+37</f>
        <v>26459</v>
      </c>
      <c r="G176" s="387">
        <f>$G$335</f>
        <v>1.1279999999999999</v>
      </c>
      <c r="H176" s="388">
        <f t="shared" ref="H176:H238" si="37">F176*G176</f>
        <v>29846</v>
      </c>
      <c r="I176" s="387">
        <f>Дефляторы!$D$27</f>
        <v>1.0509999999999999</v>
      </c>
      <c r="J176" s="388">
        <f t="shared" si="34"/>
        <v>31368</v>
      </c>
      <c r="K176" s="388">
        <f t="shared" si="35"/>
        <v>30911</v>
      </c>
      <c r="L176" s="389" t="s">
        <v>1226</v>
      </c>
      <c r="M176" s="194"/>
      <c r="N176" s="194"/>
    </row>
    <row r="177" spans="1:14" s="390" customFormat="1" ht="63.75" hidden="1" outlineLevel="3" x14ac:dyDescent="0.2">
      <c r="A177" s="191" t="s">
        <v>1105</v>
      </c>
      <c r="B177" s="132" t="s">
        <v>476</v>
      </c>
      <c r="C177" s="132" t="s">
        <v>475</v>
      </c>
      <c r="D177" s="315" t="s">
        <v>283</v>
      </c>
      <c r="E177" s="233">
        <v>1</v>
      </c>
      <c r="F177" s="233">
        <f>(138/3+1027)*(1.023*1.005-2.3%*15%)*6.99+0*4.09</f>
        <v>7685</v>
      </c>
      <c r="G177" s="387">
        <f>$G$335</f>
        <v>1.1279999999999999</v>
      </c>
      <c r="H177" s="388">
        <f t="shared" si="37"/>
        <v>8669</v>
      </c>
      <c r="I177" s="387">
        <f>Дефляторы!$D$27</f>
        <v>1.0509999999999999</v>
      </c>
      <c r="J177" s="388">
        <f t="shared" si="34"/>
        <v>9111</v>
      </c>
      <c r="K177" s="388">
        <f t="shared" si="35"/>
        <v>8978</v>
      </c>
      <c r="L177" s="389" t="s">
        <v>1227</v>
      </c>
      <c r="M177" s="194"/>
      <c r="N177" s="194"/>
    </row>
    <row r="178" spans="1:14" s="390" customFormat="1" ht="63.75" hidden="1" outlineLevel="3" x14ac:dyDescent="0.2">
      <c r="A178" s="191" t="s">
        <v>1106</v>
      </c>
      <c r="B178" s="132" t="s">
        <v>478</v>
      </c>
      <c r="C178" s="132" t="s">
        <v>477</v>
      </c>
      <c r="D178" s="315" t="s">
        <v>283</v>
      </c>
      <c r="E178" s="233">
        <v>1</v>
      </c>
      <c r="F178" s="233">
        <f>(138/3+917)*(1.023*1.005-2.3%*15%)*6.99+0*4.09</f>
        <v>6897</v>
      </c>
      <c r="G178" s="387">
        <f>$G$335</f>
        <v>1.1279999999999999</v>
      </c>
      <c r="H178" s="388">
        <f t="shared" si="37"/>
        <v>7780</v>
      </c>
      <c r="I178" s="387">
        <f>Дефляторы!$D$27</f>
        <v>1.0509999999999999</v>
      </c>
      <c r="J178" s="388">
        <f t="shared" si="34"/>
        <v>8177</v>
      </c>
      <c r="K178" s="388">
        <f t="shared" si="35"/>
        <v>8058</v>
      </c>
      <c r="L178" s="389" t="s">
        <v>1228</v>
      </c>
      <c r="M178" s="194"/>
      <c r="N178" s="194"/>
    </row>
    <row r="179" spans="1:14" s="196" customFormat="1" ht="15.75" hidden="1" outlineLevel="2" collapsed="1" x14ac:dyDescent="0.2">
      <c r="A179" s="208" t="s">
        <v>1107</v>
      </c>
      <c r="B179" s="93"/>
      <c r="C179" s="93" t="s">
        <v>991</v>
      </c>
      <c r="D179" s="317" t="s">
        <v>283</v>
      </c>
      <c r="E179" s="158">
        <v>1</v>
      </c>
      <c r="F179" s="158">
        <f>SUM(F180:F230)</f>
        <v>8136996</v>
      </c>
      <c r="G179" s="298">
        <f>$G$335</f>
        <v>1.1279999999999999</v>
      </c>
      <c r="H179" s="338">
        <f>SUM(H180:H230)</f>
        <v>9178530</v>
      </c>
      <c r="I179" s="298">
        <f>Дефляторы!$D$27</f>
        <v>1.0509999999999999</v>
      </c>
      <c r="J179" s="338">
        <f>SUM(J180:J230)</f>
        <v>9646635</v>
      </c>
      <c r="K179" s="338">
        <f>SUM(K180:K230)</f>
        <v>9506204</v>
      </c>
      <c r="L179" s="195"/>
      <c r="M179" s="195"/>
      <c r="N179" s="195"/>
    </row>
    <row r="180" spans="1:14" s="390" customFormat="1" ht="15.75" hidden="1" outlineLevel="3" x14ac:dyDescent="0.2">
      <c r="A180" s="191"/>
      <c r="B180" s="132"/>
      <c r="C180" s="192" t="s">
        <v>1000</v>
      </c>
      <c r="D180" s="314"/>
      <c r="E180" s="233"/>
      <c r="F180" s="233"/>
      <c r="G180" s="387"/>
      <c r="H180" s="388"/>
      <c r="I180" s="387">
        <f>Дефляторы!$D$27</f>
        <v>1.0509999999999999</v>
      </c>
      <c r="J180" s="388"/>
      <c r="K180" s="388"/>
      <c r="L180" s="194"/>
      <c r="M180" s="194"/>
      <c r="N180" s="194"/>
    </row>
    <row r="181" spans="1:14" s="390" customFormat="1" ht="15.75" hidden="1" outlineLevel="3" x14ac:dyDescent="0.2">
      <c r="A181" s="191" t="s">
        <v>1108</v>
      </c>
      <c r="B181" s="132" t="s">
        <v>510</v>
      </c>
      <c r="C181" s="132" t="s">
        <v>1001</v>
      </c>
      <c r="D181" s="314" t="s">
        <v>262</v>
      </c>
      <c r="E181" s="315">
        <f>2.41</f>
        <v>2.41</v>
      </c>
      <c r="F181" s="233">
        <f>10029*(1.023*1.005-2.3%*15%)*6.99+0*4.09</f>
        <v>71832</v>
      </c>
      <c r="G181" s="387">
        <f>$G$335</f>
        <v>1.1279999999999999</v>
      </c>
      <c r="H181" s="388">
        <f t="shared" si="37"/>
        <v>81026</v>
      </c>
      <c r="I181" s="387">
        <f>Дефляторы!$D$27</f>
        <v>1.0509999999999999</v>
      </c>
      <c r="J181" s="388">
        <f t="shared" ref="J181:J230" si="38">H181*I181</f>
        <v>85158</v>
      </c>
      <c r="K181" s="388">
        <f t="shared" ref="K181:K230" si="39">H181+(J181-H181)*(1-30/100)</f>
        <v>83918</v>
      </c>
      <c r="L181" s="194"/>
      <c r="M181" s="194"/>
      <c r="N181" s="194"/>
    </row>
    <row r="182" spans="1:14" s="390" customFormat="1" ht="25.5" hidden="1" outlineLevel="3" x14ac:dyDescent="0.2">
      <c r="A182" s="191" t="s">
        <v>1109</v>
      </c>
      <c r="B182" s="132" t="s">
        <v>513</v>
      </c>
      <c r="C182" s="132" t="s">
        <v>1002</v>
      </c>
      <c r="D182" s="314" t="s">
        <v>262</v>
      </c>
      <c r="E182" s="315">
        <f>9.91</f>
        <v>9.91</v>
      </c>
      <c r="F182" s="233">
        <f>17138*(1.023*1.005-2.3%*15%)*6.99+0*4.09</f>
        <v>122749</v>
      </c>
      <c r="G182" s="387">
        <f>$G$335</f>
        <v>1.1279999999999999</v>
      </c>
      <c r="H182" s="388">
        <f t="shared" si="37"/>
        <v>138461</v>
      </c>
      <c r="I182" s="387">
        <f>Дефляторы!$D$27</f>
        <v>1.0509999999999999</v>
      </c>
      <c r="J182" s="388">
        <f t="shared" si="38"/>
        <v>145523</v>
      </c>
      <c r="K182" s="388">
        <f t="shared" si="39"/>
        <v>143404</v>
      </c>
      <c r="L182" s="194"/>
      <c r="M182" s="194"/>
      <c r="N182" s="194"/>
    </row>
    <row r="183" spans="1:14" s="390" customFormat="1" ht="15.75" hidden="1" outlineLevel="3" x14ac:dyDescent="0.2">
      <c r="A183" s="191" t="s">
        <v>1110</v>
      </c>
      <c r="B183" s="132" t="s">
        <v>516</v>
      </c>
      <c r="C183" s="132" t="s">
        <v>515</v>
      </c>
      <c r="D183" s="314" t="s">
        <v>271</v>
      </c>
      <c r="E183" s="233">
        <v>82</v>
      </c>
      <c r="F183" s="233">
        <f>4200*(1.023*1.005-2.3%*15%)*6.99+0*4.09</f>
        <v>30082</v>
      </c>
      <c r="G183" s="387">
        <f>$G$335</f>
        <v>1.1279999999999999</v>
      </c>
      <c r="H183" s="388">
        <f t="shared" si="37"/>
        <v>33932</v>
      </c>
      <c r="I183" s="387">
        <f>Дефляторы!$D$27</f>
        <v>1.0509999999999999</v>
      </c>
      <c r="J183" s="388">
        <f t="shared" si="38"/>
        <v>35663</v>
      </c>
      <c r="K183" s="388">
        <f t="shared" si="39"/>
        <v>35144</v>
      </c>
      <c r="L183" s="194"/>
      <c r="M183" s="194"/>
      <c r="N183" s="194"/>
    </row>
    <row r="184" spans="1:14" s="390" customFormat="1" ht="15.75" hidden="1" outlineLevel="3" x14ac:dyDescent="0.2">
      <c r="A184" s="191" t="s">
        <v>1111</v>
      </c>
      <c r="B184" s="132" t="s">
        <v>518</v>
      </c>
      <c r="C184" s="132" t="s">
        <v>517</v>
      </c>
      <c r="D184" s="314" t="s">
        <v>250</v>
      </c>
      <c r="E184" s="233">
        <v>1</v>
      </c>
      <c r="F184" s="233">
        <f>36879*(1.023*1.005-2.3%*15%)*6.99+0*4.09</f>
        <v>264142</v>
      </c>
      <c r="G184" s="387">
        <f>$G$335</f>
        <v>1.1279999999999999</v>
      </c>
      <c r="H184" s="388">
        <f t="shared" si="37"/>
        <v>297952</v>
      </c>
      <c r="I184" s="387">
        <f>Дефляторы!$D$27</f>
        <v>1.0509999999999999</v>
      </c>
      <c r="J184" s="388">
        <f t="shared" si="38"/>
        <v>313148</v>
      </c>
      <c r="K184" s="388">
        <f t="shared" si="39"/>
        <v>308589</v>
      </c>
      <c r="L184" s="194" t="s">
        <v>519</v>
      </c>
      <c r="M184" s="194"/>
      <c r="N184" s="194"/>
    </row>
    <row r="185" spans="1:14" s="390" customFormat="1" ht="15.75" hidden="1" outlineLevel="3" x14ac:dyDescent="0.2">
      <c r="A185" s="191"/>
      <c r="B185" s="132"/>
      <c r="C185" s="192" t="s">
        <v>993</v>
      </c>
      <c r="D185" s="314"/>
      <c r="E185" s="233"/>
      <c r="F185" s="233"/>
      <c r="G185" s="387"/>
      <c r="H185" s="388"/>
      <c r="I185" s="387">
        <f>Дефляторы!$D$27</f>
        <v>1.0509999999999999</v>
      </c>
      <c r="J185" s="388">
        <f t="shared" si="38"/>
        <v>0</v>
      </c>
      <c r="K185" s="388">
        <f t="shared" si="39"/>
        <v>0</v>
      </c>
      <c r="L185" s="194"/>
      <c r="M185" s="194"/>
      <c r="N185" s="194"/>
    </row>
    <row r="186" spans="1:14" s="390" customFormat="1" ht="102" hidden="1" outlineLevel="3" x14ac:dyDescent="0.2">
      <c r="A186" s="191" t="s">
        <v>1112</v>
      </c>
      <c r="B186" s="132" t="s">
        <v>522</v>
      </c>
      <c r="C186" s="132" t="s">
        <v>520</v>
      </c>
      <c r="D186" s="314" t="s">
        <v>305</v>
      </c>
      <c r="E186" s="233">
        <v>1</v>
      </c>
      <c r="F186" s="233">
        <f>2.4*6*2.7/79.9*1788*(1.023*1.005-2.3%*15%)*6.99+257810*4.09-3</f>
        <v>1060672</v>
      </c>
      <c r="G186" s="387">
        <f t="shared" ref="G186:G207" si="40">$G$335</f>
        <v>1.1279999999999999</v>
      </c>
      <c r="H186" s="388">
        <f t="shared" si="37"/>
        <v>1196438</v>
      </c>
      <c r="I186" s="387">
        <f>Дефляторы!$D$27</f>
        <v>1.0509999999999999</v>
      </c>
      <c r="J186" s="388">
        <f t="shared" si="38"/>
        <v>1257456</v>
      </c>
      <c r="K186" s="388">
        <f t="shared" si="39"/>
        <v>1239151</v>
      </c>
      <c r="L186" s="389" t="s">
        <v>869</v>
      </c>
      <c r="M186" s="400"/>
      <c r="N186" s="194"/>
    </row>
    <row r="187" spans="1:14" s="390" customFormat="1" ht="102" hidden="1" outlineLevel="3" x14ac:dyDescent="0.2">
      <c r="A187" s="191" t="s">
        <v>1113</v>
      </c>
      <c r="B187" s="132" t="s">
        <v>524</v>
      </c>
      <c r="C187" s="132" t="s">
        <v>523</v>
      </c>
      <c r="D187" s="314" t="s">
        <v>283</v>
      </c>
      <c r="E187" s="233">
        <v>1</v>
      </c>
      <c r="F187" s="233">
        <f>2.5*4.5*2.7/79.9*1788*(1.023*1.005-2.3%*15%)*6.99+233652*4.09-3</f>
        <v>960502</v>
      </c>
      <c r="G187" s="387">
        <f t="shared" si="40"/>
        <v>1.1279999999999999</v>
      </c>
      <c r="H187" s="388">
        <f t="shared" si="37"/>
        <v>1083446</v>
      </c>
      <c r="I187" s="387">
        <f>Дефляторы!$D$27</f>
        <v>1.0509999999999999</v>
      </c>
      <c r="J187" s="388">
        <f t="shared" si="38"/>
        <v>1138702</v>
      </c>
      <c r="K187" s="388">
        <f t="shared" si="39"/>
        <v>1122125</v>
      </c>
      <c r="L187" s="389" t="s">
        <v>870</v>
      </c>
      <c r="M187" s="194"/>
      <c r="N187" s="194"/>
    </row>
    <row r="188" spans="1:14" s="390" customFormat="1" ht="102" hidden="1" outlineLevel="3" x14ac:dyDescent="0.2">
      <c r="A188" s="191" t="s">
        <v>1114</v>
      </c>
      <c r="B188" s="132" t="s">
        <v>526</v>
      </c>
      <c r="C188" s="132" t="s">
        <v>525</v>
      </c>
      <c r="D188" s="314" t="s">
        <v>283</v>
      </c>
      <c r="E188" s="233">
        <v>1</v>
      </c>
      <c r="F188" s="233">
        <f>1.2*3.3*2.7/79.9*1788*(1.023*1.005-2.3%*15%)*6.99+184698*4.09-2</f>
        <v>757127</v>
      </c>
      <c r="G188" s="387">
        <f t="shared" si="40"/>
        <v>1.1279999999999999</v>
      </c>
      <c r="H188" s="388">
        <f t="shared" si="37"/>
        <v>854039</v>
      </c>
      <c r="I188" s="387">
        <f>Дефляторы!$D$27</f>
        <v>1.0509999999999999</v>
      </c>
      <c r="J188" s="388">
        <f t="shared" si="38"/>
        <v>897595</v>
      </c>
      <c r="K188" s="388">
        <f t="shared" si="39"/>
        <v>884528</v>
      </c>
      <c r="L188" s="389" t="s">
        <v>871</v>
      </c>
      <c r="M188" s="194"/>
      <c r="N188" s="194"/>
    </row>
    <row r="189" spans="1:14" s="390" customFormat="1" ht="25.5" hidden="1" outlineLevel="3" x14ac:dyDescent="0.2">
      <c r="A189" s="191" t="s">
        <v>1115</v>
      </c>
      <c r="B189" s="132" t="s">
        <v>527</v>
      </c>
      <c r="C189" s="132" t="s">
        <v>528</v>
      </c>
      <c r="D189" s="314" t="s">
        <v>271</v>
      </c>
      <c r="E189" s="233">
        <v>200</v>
      </c>
      <c r="F189" s="233">
        <f>(75852-4881-9346)*(1.023*1.005-2.3%*15%)*6.99+0*4.09+17</f>
        <v>441400</v>
      </c>
      <c r="G189" s="387">
        <f t="shared" si="40"/>
        <v>1.1279999999999999</v>
      </c>
      <c r="H189" s="388">
        <f t="shared" si="37"/>
        <v>497899</v>
      </c>
      <c r="I189" s="387">
        <f>Дефляторы!$D$27</f>
        <v>1.0509999999999999</v>
      </c>
      <c r="J189" s="388">
        <f t="shared" si="38"/>
        <v>523292</v>
      </c>
      <c r="K189" s="388">
        <f t="shared" si="39"/>
        <v>515674</v>
      </c>
      <c r="L189" s="194"/>
      <c r="M189" s="194"/>
      <c r="N189" s="194"/>
    </row>
    <row r="190" spans="1:14" s="390" customFormat="1" ht="63.75" hidden="1" outlineLevel="3" x14ac:dyDescent="0.2">
      <c r="A190" s="191" t="s">
        <v>1116</v>
      </c>
      <c r="B190" s="132" t="s">
        <v>530</v>
      </c>
      <c r="C190" s="132" t="s">
        <v>529</v>
      </c>
      <c r="D190" s="314" t="s">
        <v>363</v>
      </c>
      <c r="E190" s="278">
        <f>49.8</f>
        <v>49.8</v>
      </c>
      <c r="F190" s="233">
        <f>(4881+9346)*(1.023*1.005-2.3%*15%)*6.99+0*4.09</f>
        <v>101900</v>
      </c>
      <c r="G190" s="387">
        <f t="shared" si="40"/>
        <v>1.1279999999999999</v>
      </c>
      <c r="H190" s="388">
        <f t="shared" si="37"/>
        <v>114943</v>
      </c>
      <c r="I190" s="387">
        <f>Дефляторы!$D$27</f>
        <v>1.0509999999999999</v>
      </c>
      <c r="J190" s="388">
        <f t="shared" si="38"/>
        <v>120805</v>
      </c>
      <c r="K190" s="388">
        <f t="shared" si="39"/>
        <v>119046</v>
      </c>
      <c r="L190" s="389" t="s">
        <v>790</v>
      </c>
      <c r="M190" s="194"/>
      <c r="N190" s="194"/>
    </row>
    <row r="191" spans="1:14" s="390" customFormat="1" ht="15.75" hidden="1" outlineLevel="3" x14ac:dyDescent="0.2">
      <c r="A191" s="191" t="s">
        <v>1117</v>
      </c>
      <c r="B191" s="132" t="s">
        <v>532</v>
      </c>
      <c r="C191" s="132" t="s">
        <v>531</v>
      </c>
      <c r="D191" s="314" t="s">
        <v>271</v>
      </c>
      <c r="E191" s="233">
        <v>75</v>
      </c>
      <c r="F191" s="233">
        <f>(22299+411)*(1.023*1.005-2.3%*15%)*6.99+0*4.09</f>
        <v>162658</v>
      </c>
      <c r="G191" s="387">
        <f t="shared" si="40"/>
        <v>1.1279999999999999</v>
      </c>
      <c r="H191" s="388">
        <f t="shared" si="37"/>
        <v>183478</v>
      </c>
      <c r="I191" s="387">
        <f>Дефляторы!$D$27</f>
        <v>1.0509999999999999</v>
      </c>
      <c r="J191" s="388">
        <f t="shared" si="38"/>
        <v>192835</v>
      </c>
      <c r="K191" s="388">
        <f t="shared" si="39"/>
        <v>190028</v>
      </c>
      <c r="L191" s="194"/>
      <c r="M191" s="194"/>
      <c r="N191" s="194"/>
    </row>
    <row r="192" spans="1:14" s="390" customFormat="1" ht="25.5" hidden="1" outlineLevel="3" x14ac:dyDescent="0.2">
      <c r="A192" s="191" t="s">
        <v>1118</v>
      </c>
      <c r="B192" s="132" t="s">
        <v>533</v>
      </c>
      <c r="C192" s="132" t="s">
        <v>534</v>
      </c>
      <c r="D192" s="314" t="s">
        <v>271</v>
      </c>
      <c r="E192" s="278">
        <f>29.3</f>
        <v>29.3</v>
      </c>
      <c r="F192" s="233">
        <f>(25395+106207+562)*(1.023*1.005-2.3%*15%)*6.99+0*4.09</f>
        <v>946613</v>
      </c>
      <c r="G192" s="387">
        <f t="shared" si="40"/>
        <v>1.1279999999999999</v>
      </c>
      <c r="H192" s="388">
        <f t="shared" si="37"/>
        <v>1067779</v>
      </c>
      <c r="I192" s="387">
        <f>Дефляторы!$D$27</f>
        <v>1.0509999999999999</v>
      </c>
      <c r="J192" s="388">
        <f t="shared" si="38"/>
        <v>1122236</v>
      </c>
      <c r="K192" s="388">
        <f t="shared" si="39"/>
        <v>1105899</v>
      </c>
      <c r="L192" s="389" t="s">
        <v>535</v>
      </c>
      <c r="M192" s="194"/>
      <c r="N192" s="194"/>
    </row>
    <row r="193" spans="1:14" s="390" customFormat="1" ht="25.5" hidden="1" outlineLevel="3" x14ac:dyDescent="0.2">
      <c r="A193" s="191" t="s">
        <v>1119</v>
      </c>
      <c r="B193" s="132" t="s">
        <v>537</v>
      </c>
      <c r="C193" s="132" t="s">
        <v>536</v>
      </c>
      <c r="D193" s="314" t="s">
        <v>271</v>
      </c>
      <c r="E193" s="233">
        <f>28</f>
        <v>28</v>
      </c>
      <c r="F193" s="233">
        <f>(24268+101495+537)*(1.023*1.005-2.3%*15%)*6.99+0*4.09</f>
        <v>904612</v>
      </c>
      <c r="G193" s="387">
        <f t="shared" si="40"/>
        <v>1.1279999999999999</v>
      </c>
      <c r="H193" s="388">
        <f t="shared" si="37"/>
        <v>1020402</v>
      </c>
      <c r="I193" s="387">
        <f>Дефляторы!$D$27</f>
        <v>1.0509999999999999</v>
      </c>
      <c r="J193" s="388">
        <f t="shared" si="38"/>
        <v>1072443</v>
      </c>
      <c r="K193" s="388">
        <f t="shared" si="39"/>
        <v>1056831</v>
      </c>
      <c r="L193" s="389" t="s">
        <v>535</v>
      </c>
      <c r="M193" s="194"/>
      <c r="N193" s="194"/>
    </row>
    <row r="194" spans="1:14" s="390" customFormat="1" ht="15.75" hidden="1" outlineLevel="3" x14ac:dyDescent="0.2">
      <c r="A194" s="191" t="s">
        <v>1120</v>
      </c>
      <c r="B194" s="132" t="s">
        <v>539</v>
      </c>
      <c r="C194" s="132" t="s">
        <v>538</v>
      </c>
      <c r="D194" s="314" t="s">
        <v>250</v>
      </c>
      <c r="E194" s="233">
        <v>1</v>
      </c>
      <c r="F194" s="233">
        <f>(20105)*(1.023*1.005-2.3%*15%)*6.99+0*4.09</f>
        <v>144000</v>
      </c>
      <c r="G194" s="387">
        <f t="shared" si="40"/>
        <v>1.1279999999999999</v>
      </c>
      <c r="H194" s="388">
        <f t="shared" si="37"/>
        <v>162432</v>
      </c>
      <c r="I194" s="387">
        <f>Дефляторы!$D$27</f>
        <v>1.0509999999999999</v>
      </c>
      <c r="J194" s="388">
        <f t="shared" si="38"/>
        <v>170716</v>
      </c>
      <c r="K194" s="388">
        <f t="shared" si="39"/>
        <v>168231</v>
      </c>
      <c r="L194" s="194"/>
      <c r="M194" s="194"/>
      <c r="N194" s="194"/>
    </row>
    <row r="195" spans="1:14" s="390" customFormat="1" ht="51" hidden="1" outlineLevel="3" x14ac:dyDescent="0.2">
      <c r="A195" s="191" t="s">
        <v>1121</v>
      </c>
      <c r="B195" s="132" t="s">
        <v>540</v>
      </c>
      <c r="C195" s="132" t="s">
        <v>444</v>
      </c>
      <c r="D195" s="314" t="s">
        <v>363</v>
      </c>
      <c r="E195" s="278">
        <f>15.4</f>
        <v>15.4</v>
      </c>
      <c r="F195" s="233">
        <f>(7389)*(1.023*1.005-2.3%*15%)*6.99+0*4.09</f>
        <v>52923</v>
      </c>
      <c r="G195" s="387">
        <f t="shared" si="40"/>
        <v>1.1279999999999999</v>
      </c>
      <c r="H195" s="388">
        <f t="shared" si="37"/>
        <v>59697</v>
      </c>
      <c r="I195" s="387">
        <f>Дефляторы!$D$27</f>
        <v>1.0509999999999999</v>
      </c>
      <c r="J195" s="388">
        <f t="shared" si="38"/>
        <v>62742</v>
      </c>
      <c r="K195" s="388">
        <f t="shared" si="39"/>
        <v>61829</v>
      </c>
      <c r="L195" s="389" t="s">
        <v>872</v>
      </c>
      <c r="M195" s="194"/>
      <c r="N195" s="194"/>
    </row>
    <row r="196" spans="1:14" s="390" customFormat="1" ht="15.75" hidden="1" outlineLevel="3" x14ac:dyDescent="0.2">
      <c r="A196" s="191" t="s">
        <v>1122</v>
      </c>
      <c r="B196" s="132" t="s">
        <v>542</v>
      </c>
      <c r="C196" s="132" t="s">
        <v>541</v>
      </c>
      <c r="D196" s="314" t="s">
        <v>283</v>
      </c>
      <c r="E196" s="233">
        <v>1</v>
      </c>
      <c r="F196" s="233">
        <f>(341+10189)*(1.023*1.005-2.3%*15%)*6.99+0*4.09</f>
        <v>75420</v>
      </c>
      <c r="G196" s="387">
        <f t="shared" si="40"/>
        <v>1.1279999999999999</v>
      </c>
      <c r="H196" s="388">
        <f t="shared" si="37"/>
        <v>85074</v>
      </c>
      <c r="I196" s="387">
        <f>Дефляторы!$D$27</f>
        <v>1.0509999999999999</v>
      </c>
      <c r="J196" s="388">
        <f t="shared" si="38"/>
        <v>89413</v>
      </c>
      <c r="K196" s="388">
        <f t="shared" si="39"/>
        <v>88111</v>
      </c>
      <c r="L196" s="194"/>
      <c r="M196" s="194"/>
      <c r="N196" s="194"/>
    </row>
    <row r="197" spans="1:14" s="390" customFormat="1" ht="15.75" hidden="1" outlineLevel="3" x14ac:dyDescent="0.2">
      <c r="A197" s="191" t="s">
        <v>1123</v>
      </c>
      <c r="B197" s="132" t="s">
        <v>544</v>
      </c>
      <c r="C197" s="132" t="s">
        <v>543</v>
      </c>
      <c r="D197" s="314" t="s">
        <v>283</v>
      </c>
      <c r="E197" s="233">
        <v>2</v>
      </c>
      <c r="F197" s="233">
        <f>(342+8151)*(1.023*1.005-2.3%*15%)*6.99+0*4.09</f>
        <v>60830</v>
      </c>
      <c r="G197" s="387">
        <f t="shared" si="40"/>
        <v>1.1279999999999999</v>
      </c>
      <c r="H197" s="388">
        <f t="shared" si="37"/>
        <v>68616</v>
      </c>
      <c r="I197" s="387">
        <f>Дефляторы!$D$27</f>
        <v>1.0509999999999999</v>
      </c>
      <c r="J197" s="388">
        <f t="shared" si="38"/>
        <v>72115</v>
      </c>
      <c r="K197" s="388">
        <f t="shared" si="39"/>
        <v>71065</v>
      </c>
      <c r="L197" s="194"/>
      <c r="M197" s="194"/>
      <c r="N197" s="194"/>
    </row>
    <row r="198" spans="1:14" s="390" customFormat="1" ht="15.75" hidden="1" outlineLevel="3" x14ac:dyDescent="0.2">
      <c r="A198" s="191" t="s">
        <v>1124</v>
      </c>
      <c r="B198" s="132" t="s">
        <v>545</v>
      </c>
      <c r="C198" s="132" t="s">
        <v>450</v>
      </c>
      <c r="D198" s="314" t="s">
        <v>363</v>
      </c>
      <c r="E198" s="278">
        <f>3.9</f>
        <v>3.9</v>
      </c>
      <c r="F198" s="233">
        <f>(158+142)*(1.023*1.005-2.3%*15%)*6.99+0*4.09</f>
        <v>2149</v>
      </c>
      <c r="G198" s="387">
        <f t="shared" si="40"/>
        <v>1.1279999999999999</v>
      </c>
      <c r="H198" s="388">
        <f t="shared" si="37"/>
        <v>2424</v>
      </c>
      <c r="I198" s="387">
        <f>Дефляторы!$D$27</f>
        <v>1.0509999999999999</v>
      </c>
      <c r="J198" s="388">
        <f t="shared" si="38"/>
        <v>2548</v>
      </c>
      <c r="K198" s="388">
        <f t="shared" si="39"/>
        <v>2511</v>
      </c>
      <c r="L198" s="194"/>
      <c r="M198" s="194"/>
      <c r="N198" s="194"/>
    </row>
    <row r="199" spans="1:14" s="390" customFormat="1" ht="38.25" hidden="1" outlineLevel="3" x14ac:dyDescent="0.2">
      <c r="A199" s="191" t="s">
        <v>1125</v>
      </c>
      <c r="B199" s="132" t="s">
        <v>547</v>
      </c>
      <c r="C199" s="132" t="s">
        <v>546</v>
      </c>
      <c r="D199" s="314" t="s">
        <v>283</v>
      </c>
      <c r="E199" s="233">
        <v>2</v>
      </c>
      <c r="F199" s="233">
        <f>(633+7556+189+185+99+742)*(1.023*1.005-2.3%*15%)*6.99+0*4.09</f>
        <v>67355</v>
      </c>
      <c r="G199" s="387">
        <f t="shared" si="40"/>
        <v>1.1279999999999999</v>
      </c>
      <c r="H199" s="388">
        <f t="shared" si="37"/>
        <v>75976</v>
      </c>
      <c r="I199" s="387">
        <f>Дефляторы!$D$27</f>
        <v>1.0509999999999999</v>
      </c>
      <c r="J199" s="388">
        <f t="shared" si="38"/>
        <v>79851</v>
      </c>
      <c r="K199" s="388">
        <f t="shared" si="39"/>
        <v>78689</v>
      </c>
      <c r="L199" s="194"/>
      <c r="M199" s="194"/>
      <c r="N199" s="194"/>
    </row>
    <row r="200" spans="1:14" s="390" customFormat="1" ht="20.25" hidden="1" customHeight="1" outlineLevel="3" x14ac:dyDescent="0.2">
      <c r="A200" s="191" t="s">
        <v>1126</v>
      </c>
      <c r="B200" s="132" t="s">
        <v>548</v>
      </c>
      <c r="C200" s="132" t="s">
        <v>550</v>
      </c>
      <c r="D200" s="314" t="s">
        <v>283</v>
      </c>
      <c r="E200" s="233">
        <v>1</v>
      </c>
      <c r="F200" s="233">
        <f>2.1/3.78*(775+5042)*(1.023*1.005-2.3%*15%)*6.99+0*4.09</f>
        <v>23147</v>
      </c>
      <c r="G200" s="387">
        <f t="shared" si="40"/>
        <v>1.1279999999999999</v>
      </c>
      <c r="H200" s="388">
        <f t="shared" si="37"/>
        <v>26110</v>
      </c>
      <c r="I200" s="387">
        <f>Дефляторы!$D$27</f>
        <v>1.0509999999999999</v>
      </c>
      <c r="J200" s="388">
        <f t="shared" si="38"/>
        <v>27442</v>
      </c>
      <c r="K200" s="388">
        <f t="shared" si="39"/>
        <v>27042</v>
      </c>
      <c r="L200" s="617" t="s">
        <v>1331</v>
      </c>
      <c r="M200" s="233"/>
      <c r="N200" s="194"/>
    </row>
    <row r="201" spans="1:14" s="390" customFormat="1" ht="25.5" hidden="1" customHeight="1" outlineLevel="3" x14ac:dyDescent="0.2">
      <c r="A201" s="191" t="s">
        <v>1127</v>
      </c>
      <c r="B201" s="132" t="s">
        <v>548</v>
      </c>
      <c r="C201" s="132" t="s">
        <v>549</v>
      </c>
      <c r="D201" s="314" t="s">
        <v>283</v>
      </c>
      <c r="E201" s="233">
        <v>1</v>
      </c>
      <c r="F201" s="233">
        <f>0.8*2.1/3.78*(775+5042)*(1.023*1.005-2.3%*15%)*6.99+0*4.09</f>
        <v>18517</v>
      </c>
      <c r="G201" s="387">
        <f t="shared" si="40"/>
        <v>1.1279999999999999</v>
      </c>
      <c r="H201" s="388">
        <f t="shared" si="37"/>
        <v>20887</v>
      </c>
      <c r="I201" s="387">
        <f>Дефляторы!$D$27</f>
        <v>1.0509999999999999</v>
      </c>
      <c r="J201" s="388">
        <f t="shared" si="38"/>
        <v>21952</v>
      </c>
      <c r="K201" s="388">
        <f t="shared" si="39"/>
        <v>21633</v>
      </c>
      <c r="L201" s="618"/>
      <c r="M201" s="233"/>
      <c r="N201" s="194"/>
    </row>
    <row r="202" spans="1:14" s="390" customFormat="1" ht="25.5" hidden="1" outlineLevel="3" x14ac:dyDescent="0.2">
      <c r="A202" s="191" t="s">
        <v>1128</v>
      </c>
      <c r="B202" s="132" t="s">
        <v>552</v>
      </c>
      <c r="C202" s="132" t="s">
        <v>551</v>
      </c>
      <c r="D202" s="314" t="s">
        <v>283</v>
      </c>
      <c r="E202" s="233">
        <v>1</v>
      </c>
      <c r="F202" s="233">
        <f>(147+113+2+4097)*(1.023*1.005-2.3%*15%)*6.99+0*4.09</f>
        <v>31221</v>
      </c>
      <c r="G202" s="387">
        <f t="shared" si="40"/>
        <v>1.1279999999999999</v>
      </c>
      <c r="H202" s="388">
        <f t="shared" si="37"/>
        <v>35217</v>
      </c>
      <c r="I202" s="387">
        <f>Дефляторы!$D$27</f>
        <v>1.0509999999999999</v>
      </c>
      <c r="J202" s="388">
        <f t="shared" si="38"/>
        <v>37013</v>
      </c>
      <c r="K202" s="388">
        <f t="shared" si="39"/>
        <v>36474</v>
      </c>
      <c r="L202" s="194"/>
      <c r="M202" s="194"/>
      <c r="N202" s="194"/>
    </row>
    <row r="203" spans="1:14" s="390" customFormat="1" ht="38.25" hidden="1" outlineLevel="3" x14ac:dyDescent="0.2">
      <c r="A203" s="191" t="s">
        <v>1129</v>
      </c>
      <c r="B203" s="132" t="s">
        <v>553</v>
      </c>
      <c r="C203" s="132" t="s">
        <v>554</v>
      </c>
      <c r="D203" s="314" t="s">
        <v>283</v>
      </c>
      <c r="E203" s="233">
        <v>1</v>
      </c>
      <c r="F203" s="233">
        <f>(3036+8948)*(1.023*1.005-2.3%*15%)*6.99+0*4.09</f>
        <v>85834</v>
      </c>
      <c r="G203" s="387">
        <f t="shared" si="40"/>
        <v>1.1279999999999999</v>
      </c>
      <c r="H203" s="388">
        <f t="shared" si="37"/>
        <v>96821</v>
      </c>
      <c r="I203" s="387">
        <f>Дефляторы!$D$27</f>
        <v>1.0509999999999999</v>
      </c>
      <c r="J203" s="388">
        <f t="shared" si="38"/>
        <v>101759</v>
      </c>
      <c r="K203" s="388">
        <f t="shared" si="39"/>
        <v>100278</v>
      </c>
      <c r="L203" s="389" t="s">
        <v>555</v>
      </c>
      <c r="M203" s="194"/>
      <c r="N203" s="194"/>
    </row>
    <row r="204" spans="1:14" s="390" customFormat="1" ht="38.25" hidden="1" outlineLevel="3" x14ac:dyDescent="0.2">
      <c r="A204" s="191" t="s">
        <v>1130</v>
      </c>
      <c r="B204" s="132" t="s">
        <v>560</v>
      </c>
      <c r="C204" s="132" t="s">
        <v>556</v>
      </c>
      <c r="D204" s="314" t="s">
        <v>271</v>
      </c>
      <c r="E204" s="315">
        <f>34.51</f>
        <v>34.51</v>
      </c>
      <c r="F204" s="233">
        <f>(443+6441+474+484+526+299+52+299+81+828)*(1.023*1.005-2.3%*15%)*6.99+0*4.09</f>
        <v>71101</v>
      </c>
      <c r="G204" s="387">
        <f t="shared" si="40"/>
        <v>1.1279999999999999</v>
      </c>
      <c r="H204" s="388">
        <f t="shared" si="37"/>
        <v>80202</v>
      </c>
      <c r="I204" s="387">
        <f>Дефляторы!$D$27</f>
        <v>1.0509999999999999</v>
      </c>
      <c r="J204" s="388">
        <f t="shared" si="38"/>
        <v>84292</v>
      </c>
      <c r="K204" s="388">
        <f t="shared" si="39"/>
        <v>83065</v>
      </c>
      <c r="L204" s="194"/>
      <c r="M204" s="194"/>
      <c r="N204" s="194"/>
    </row>
    <row r="205" spans="1:14" s="390" customFormat="1" ht="25.5" hidden="1" outlineLevel="3" x14ac:dyDescent="0.2">
      <c r="A205" s="191" t="s">
        <v>1131</v>
      </c>
      <c r="B205" s="132" t="s">
        <v>561</v>
      </c>
      <c r="C205" s="132" t="s">
        <v>558</v>
      </c>
      <c r="D205" s="314" t="s">
        <v>271</v>
      </c>
      <c r="E205" s="315">
        <f>20.09</f>
        <v>20.09</v>
      </c>
      <c r="F205" s="233">
        <f>(336+3479+740+92+534+2+2+13+2+2+14+37)*(1.023*1.005-2.3%*15%)*6.99+0*4.09</f>
        <v>37624</v>
      </c>
      <c r="G205" s="387">
        <f t="shared" si="40"/>
        <v>1.1279999999999999</v>
      </c>
      <c r="H205" s="388">
        <f t="shared" si="37"/>
        <v>42440</v>
      </c>
      <c r="I205" s="387">
        <f>Дефляторы!$D$27</f>
        <v>1.0509999999999999</v>
      </c>
      <c r="J205" s="388">
        <f t="shared" si="38"/>
        <v>44604</v>
      </c>
      <c r="K205" s="388">
        <f t="shared" si="39"/>
        <v>43955</v>
      </c>
      <c r="L205" s="194"/>
      <c r="M205" s="194"/>
      <c r="N205" s="194"/>
    </row>
    <row r="206" spans="1:14" s="390" customFormat="1" ht="25.5" hidden="1" outlineLevel="3" x14ac:dyDescent="0.2">
      <c r="A206" s="191" t="s">
        <v>1132</v>
      </c>
      <c r="B206" s="132" t="s">
        <v>562</v>
      </c>
      <c r="C206" s="132" t="s">
        <v>557</v>
      </c>
      <c r="D206" s="314" t="s">
        <v>271</v>
      </c>
      <c r="E206" s="315">
        <f>8.61</f>
        <v>8.61</v>
      </c>
      <c r="F206" s="233">
        <f>(1112+105+9+844+14+37)*(1.023*1.005-2.3%*15%)*6.99+0*4.09</f>
        <v>15191</v>
      </c>
      <c r="G206" s="387">
        <f t="shared" si="40"/>
        <v>1.1279999999999999</v>
      </c>
      <c r="H206" s="388">
        <f t="shared" si="37"/>
        <v>17135</v>
      </c>
      <c r="I206" s="387">
        <f>Дефляторы!$D$27</f>
        <v>1.0509999999999999</v>
      </c>
      <c r="J206" s="388">
        <f t="shared" si="38"/>
        <v>18009</v>
      </c>
      <c r="K206" s="388">
        <f t="shared" si="39"/>
        <v>17747</v>
      </c>
      <c r="L206" s="194"/>
      <c r="M206" s="194"/>
      <c r="N206" s="194"/>
    </row>
    <row r="207" spans="1:14" s="390" customFormat="1" ht="38.25" hidden="1" outlineLevel="3" x14ac:dyDescent="0.2">
      <c r="A207" s="191" t="s">
        <v>1133</v>
      </c>
      <c r="B207" s="132" t="s">
        <v>563</v>
      </c>
      <c r="C207" s="132" t="s">
        <v>559</v>
      </c>
      <c r="D207" s="314" t="s">
        <v>271</v>
      </c>
      <c r="E207" s="315">
        <f>5.81</f>
        <v>5.81</v>
      </c>
      <c r="F207" s="233">
        <f>(750+48+4+386+6+13)*(1.023*1.005-2.3%*15%)*6.99+0*4.09</f>
        <v>8645</v>
      </c>
      <c r="G207" s="387">
        <f t="shared" si="40"/>
        <v>1.1279999999999999</v>
      </c>
      <c r="H207" s="388">
        <f t="shared" si="37"/>
        <v>9752</v>
      </c>
      <c r="I207" s="387">
        <f>Дефляторы!$D$27</f>
        <v>1.0509999999999999</v>
      </c>
      <c r="J207" s="388">
        <f t="shared" si="38"/>
        <v>10249</v>
      </c>
      <c r="K207" s="388">
        <f t="shared" si="39"/>
        <v>10100</v>
      </c>
      <c r="L207" s="194"/>
      <c r="M207" s="194"/>
      <c r="N207" s="194"/>
    </row>
    <row r="208" spans="1:14" s="390" customFormat="1" ht="15.75" hidden="1" outlineLevel="3" x14ac:dyDescent="0.2">
      <c r="A208" s="191"/>
      <c r="B208" s="132"/>
      <c r="C208" s="192" t="s">
        <v>564</v>
      </c>
      <c r="D208" s="314"/>
      <c r="E208" s="233"/>
      <c r="F208" s="233"/>
      <c r="G208" s="387"/>
      <c r="H208" s="388"/>
      <c r="I208" s="387">
        <f>Дефляторы!$D$27</f>
        <v>1.0509999999999999</v>
      </c>
      <c r="J208" s="388">
        <f t="shared" si="38"/>
        <v>0</v>
      </c>
      <c r="K208" s="388">
        <f t="shared" si="39"/>
        <v>0</v>
      </c>
      <c r="L208" s="194"/>
      <c r="M208" s="194"/>
      <c r="N208" s="194"/>
    </row>
    <row r="209" spans="1:14" s="390" customFormat="1" ht="15.75" hidden="1" outlineLevel="3" x14ac:dyDescent="0.2">
      <c r="A209" s="191" t="s">
        <v>1134</v>
      </c>
      <c r="B209" s="132" t="s">
        <v>566</v>
      </c>
      <c r="C209" s="132" t="s">
        <v>565</v>
      </c>
      <c r="D209" s="314" t="s">
        <v>271</v>
      </c>
      <c r="E209" s="315">
        <f>5.81</f>
        <v>5.81</v>
      </c>
      <c r="F209" s="233">
        <f>(293+197+3+78+141+14)*(1.023*1.005-2.3%*15%)*6.99+0*4.09</f>
        <v>5200</v>
      </c>
      <c r="G209" s="387">
        <f>$G$335</f>
        <v>1.1279999999999999</v>
      </c>
      <c r="H209" s="388">
        <f t="shared" si="37"/>
        <v>5866</v>
      </c>
      <c r="I209" s="387">
        <f>Дефляторы!$D$27</f>
        <v>1.0509999999999999</v>
      </c>
      <c r="J209" s="388">
        <f t="shared" si="38"/>
        <v>6165</v>
      </c>
      <c r="K209" s="388">
        <f t="shared" si="39"/>
        <v>6075</v>
      </c>
      <c r="L209" s="194"/>
      <c r="M209" s="194"/>
      <c r="N209" s="194"/>
    </row>
    <row r="210" spans="1:14" s="390" customFormat="1" ht="15.75" hidden="1" outlineLevel="3" x14ac:dyDescent="0.2">
      <c r="A210" s="191"/>
      <c r="B210" s="132"/>
      <c r="C210" s="192" t="s">
        <v>568</v>
      </c>
      <c r="D210" s="314"/>
      <c r="E210" s="315"/>
      <c r="F210" s="315"/>
      <c r="G210" s="387"/>
      <c r="H210" s="388"/>
      <c r="I210" s="387">
        <f>Дефляторы!$D$27</f>
        <v>1.0509999999999999</v>
      </c>
      <c r="J210" s="388">
        <f t="shared" si="38"/>
        <v>0</v>
      </c>
      <c r="K210" s="388">
        <f t="shared" si="39"/>
        <v>0</v>
      </c>
      <c r="L210" s="194"/>
      <c r="M210" s="194"/>
      <c r="N210" s="194"/>
    </row>
    <row r="211" spans="1:14" s="390" customFormat="1" ht="15.75" hidden="1" outlineLevel="3" x14ac:dyDescent="0.2">
      <c r="A211" s="191" t="s">
        <v>1135</v>
      </c>
      <c r="B211" s="132" t="s">
        <v>570</v>
      </c>
      <c r="C211" s="132" t="s">
        <v>567</v>
      </c>
      <c r="D211" s="314" t="s">
        <v>283</v>
      </c>
      <c r="E211" s="233">
        <v>1</v>
      </c>
      <c r="F211" s="233">
        <f>(47+1248)*(1.023*1.005-2.3%*15%)*6.99+0*4.09</f>
        <v>9275</v>
      </c>
      <c r="G211" s="387">
        <f>$G$335</f>
        <v>1.1279999999999999</v>
      </c>
      <c r="H211" s="388">
        <f t="shared" si="37"/>
        <v>10462</v>
      </c>
      <c r="I211" s="387">
        <f>Дефляторы!$D$27</f>
        <v>1.0509999999999999</v>
      </c>
      <c r="J211" s="388">
        <f t="shared" si="38"/>
        <v>10996</v>
      </c>
      <c r="K211" s="388">
        <f t="shared" si="39"/>
        <v>10836</v>
      </c>
      <c r="L211" s="194"/>
      <c r="M211" s="194"/>
      <c r="N211" s="194"/>
    </row>
    <row r="212" spans="1:14" s="390" customFormat="1" ht="38.25" hidden="1" outlineLevel="3" x14ac:dyDescent="0.2">
      <c r="A212" s="191" t="s">
        <v>1136</v>
      </c>
      <c r="B212" s="132" t="s">
        <v>571</v>
      </c>
      <c r="C212" s="132" t="s">
        <v>569</v>
      </c>
      <c r="D212" s="314" t="s">
        <v>283</v>
      </c>
      <c r="E212" s="233">
        <v>1</v>
      </c>
      <c r="F212" s="233">
        <f>(48+3+4+276)*(1.023*1.005-2.3%*15%)*6.99+0*4.09</f>
        <v>2371</v>
      </c>
      <c r="G212" s="387">
        <f>$G$335</f>
        <v>1.1279999999999999</v>
      </c>
      <c r="H212" s="388">
        <f t="shared" si="37"/>
        <v>2674</v>
      </c>
      <c r="I212" s="387">
        <f>Дефляторы!$D$27</f>
        <v>1.0509999999999999</v>
      </c>
      <c r="J212" s="388">
        <f t="shared" si="38"/>
        <v>2810</v>
      </c>
      <c r="K212" s="388">
        <f t="shared" si="39"/>
        <v>2769</v>
      </c>
      <c r="L212" s="194"/>
      <c r="M212" s="194"/>
      <c r="N212" s="194"/>
    </row>
    <row r="213" spans="1:14" s="390" customFormat="1" ht="38.25" hidden="1" outlineLevel="3" x14ac:dyDescent="0.2">
      <c r="A213" s="191" t="s">
        <v>1137</v>
      </c>
      <c r="B213" s="132" t="s">
        <v>573</v>
      </c>
      <c r="C213" s="132" t="s">
        <v>572</v>
      </c>
      <c r="D213" s="314" t="s">
        <v>271</v>
      </c>
      <c r="E213" s="315">
        <f>108.88</f>
        <v>108.88</v>
      </c>
      <c r="F213" s="233">
        <f>(3282+357+10116+3746+1748+47+1121+2345+113+199+3277+1863)*(1.023*1.005-2.3%*15%)*6.99+0*4.09</f>
        <v>202080</v>
      </c>
      <c r="G213" s="387">
        <f>$G$335</f>
        <v>1.1279999999999999</v>
      </c>
      <c r="H213" s="388">
        <f t="shared" si="37"/>
        <v>227946</v>
      </c>
      <c r="I213" s="387">
        <f>Дефляторы!$D$27</f>
        <v>1.0509999999999999</v>
      </c>
      <c r="J213" s="388">
        <f t="shared" si="38"/>
        <v>239571</v>
      </c>
      <c r="K213" s="388">
        <f t="shared" si="39"/>
        <v>236084</v>
      </c>
      <c r="L213" s="389" t="s">
        <v>577</v>
      </c>
      <c r="M213" s="194"/>
      <c r="N213" s="194"/>
    </row>
    <row r="214" spans="1:14" s="390" customFormat="1" ht="15.75" hidden="1" outlineLevel="3" x14ac:dyDescent="0.2">
      <c r="A214" s="191" t="s">
        <v>1138</v>
      </c>
      <c r="B214" s="132" t="s">
        <v>575</v>
      </c>
      <c r="C214" s="132" t="s">
        <v>574</v>
      </c>
      <c r="D214" s="314" t="s">
        <v>271</v>
      </c>
      <c r="E214" s="233">
        <v>200</v>
      </c>
      <c r="F214" s="233">
        <f>(29259+31374)*(1.023*1.005-2.3%*15%)*6.99+0*4.09</f>
        <v>434278</v>
      </c>
      <c r="G214" s="387">
        <f>$G$335</f>
        <v>1.1279999999999999</v>
      </c>
      <c r="H214" s="388">
        <f t="shared" si="37"/>
        <v>489866</v>
      </c>
      <c r="I214" s="387">
        <f>Дефляторы!$D$27</f>
        <v>1.0509999999999999</v>
      </c>
      <c r="J214" s="388">
        <f t="shared" si="38"/>
        <v>514849</v>
      </c>
      <c r="K214" s="388">
        <f t="shared" si="39"/>
        <v>507354</v>
      </c>
      <c r="L214" s="194"/>
      <c r="M214" s="194"/>
      <c r="N214" s="194"/>
    </row>
    <row r="215" spans="1:14" s="390" customFormat="1" ht="25.5" hidden="1" outlineLevel="3" x14ac:dyDescent="0.2">
      <c r="A215" s="191" t="s">
        <v>1139</v>
      </c>
      <c r="B215" s="132" t="s">
        <v>576</v>
      </c>
      <c r="C215" s="132" t="s">
        <v>578</v>
      </c>
      <c r="D215" s="314" t="s">
        <v>271</v>
      </c>
      <c r="E215" s="315">
        <f>34.51</f>
        <v>34.51</v>
      </c>
      <c r="F215" s="233">
        <f>(4066)*(1.023*1.005-2.3%*15%)*6.99+0*4.09</f>
        <v>29122</v>
      </c>
      <c r="G215" s="387">
        <f>$G$335</f>
        <v>1.1279999999999999</v>
      </c>
      <c r="H215" s="388">
        <f t="shared" si="37"/>
        <v>32850</v>
      </c>
      <c r="I215" s="387">
        <f>Дефляторы!$D$27</f>
        <v>1.0509999999999999</v>
      </c>
      <c r="J215" s="388">
        <f t="shared" si="38"/>
        <v>34525</v>
      </c>
      <c r="K215" s="388">
        <f t="shared" si="39"/>
        <v>34023</v>
      </c>
      <c r="L215" s="194"/>
      <c r="M215" s="194"/>
      <c r="N215" s="194"/>
    </row>
    <row r="216" spans="1:14" s="390" customFormat="1" ht="15.75" hidden="1" outlineLevel="3" x14ac:dyDescent="0.2">
      <c r="A216" s="191"/>
      <c r="B216" s="132"/>
      <c r="C216" s="192" t="s">
        <v>1006</v>
      </c>
      <c r="D216" s="314"/>
      <c r="E216" s="233"/>
      <c r="F216" s="233"/>
      <c r="G216" s="387"/>
      <c r="H216" s="388"/>
      <c r="I216" s="387">
        <f>Дефляторы!$D$27</f>
        <v>1.0509999999999999</v>
      </c>
      <c r="J216" s="388">
        <f t="shared" si="38"/>
        <v>0</v>
      </c>
      <c r="K216" s="388">
        <f t="shared" si="39"/>
        <v>0</v>
      </c>
      <c r="L216" s="194"/>
      <c r="M216" s="194"/>
      <c r="N216" s="194"/>
    </row>
    <row r="217" spans="1:14" s="390" customFormat="1" ht="15.75" hidden="1" outlineLevel="3" x14ac:dyDescent="0.2">
      <c r="A217" s="191" t="s">
        <v>1140</v>
      </c>
      <c r="B217" s="132" t="s">
        <v>582</v>
      </c>
      <c r="C217" s="132" t="s">
        <v>579</v>
      </c>
      <c r="D217" s="314" t="s">
        <v>283</v>
      </c>
      <c r="E217" s="233">
        <v>1</v>
      </c>
      <c r="F217" s="233">
        <f>(1/5*213+444)*(1.023*1.005-2.3%*15%)*6.99+0*4.09</f>
        <v>3485</v>
      </c>
      <c r="G217" s="387">
        <f>$G$335</f>
        <v>1.1279999999999999</v>
      </c>
      <c r="H217" s="388">
        <f t="shared" si="37"/>
        <v>3931</v>
      </c>
      <c r="I217" s="387">
        <f>Дефляторы!$D$27</f>
        <v>1.0509999999999999</v>
      </c>
      <c r="J217" s="388">
        <f t="shared" si="38"/>
        <v>4131</v>
      </c>
      <c r="K217" s="388">
        <f t="shared" si="39"/>
        <v>4071</v>
      </c>
      <c r="L217" s="194"/>
      <c r="M217" s="194"/>
      <c r="N217" s="194"/>
    </row>
    <row r="218" spans="1:14" s="390" customFormat="1" ht="15.75" hidden="1" outlineLevel="3" x14ac:dyDescent="0.2">
      <c r="A218" s="191" t="s">
        <v>1141</v>
      </c>
      <c r="B218" s="132" t="s">
        <v>583</v>
      </c>
      <c r="C218" s="132" t="s">
        <v>461</v>
      </c>
      <c r="D218" s="314" t="s">
        <v>283</v>
      </c>
      <c r="E218" s="233">
        <v>3</v>
      </c>
      <c r="F218" s="233">
        <f>(3/5*213+1456)*(1.023*1.005-2.3%*15%)*6.99+0*4.09</f>
        <v>11344</v>
      </c>
      <c r="G218" s="387">
        <f>$G$335</f>
        <v>1.1279999999999999</v>
      </c>
      <c r="H218" s="388">
        <f t="shared" si="37"/>
        <v>12796</v>
      </c>
      <c r="I218" s="387">
        <f>Дефляторы!$D$27</f>
        <v>1.0509999999999999</v>
      </c>
      <c r="J218" s="388">
        <f t="shared" si="38"/>
        <v>13449</v>
      </c>
      <c r="K218" s="388">
        <f t="shared" si="39"/>
        <v>13253</v>
      </c>
      <c r="L218" s="194"/>
      <c r="M218" s="194"/>
      <c r="N218" s="194"/>
    </row>
    <row r="219" spans="1:14" s="390" customFormat="1" ht="15.75" hidden="1" outlineLevel="3" x14ac:dyDescent="0.2">
      <c r="A219" s="191" t="s">
        <v>1142</v>
      </c>
      <c r="B219" s="132" t="s">
        <v>584</v>
      </c>
      <c r="C219" s="132" t="s">
        <v>581</v>
      </c>
      <c r="D219" s="314" t="s">
        <v>283</v>
      </c>
      <c r="E219" s="233">
        <v>1</v>
      </c>
      <c r="F219" s="233">
        <f>(1/5*213+619)*(1.023*1.005-2.3%*15%)*6.99+0*4.09</f>
        <v>4739</v>
      </c>
      <c r="G219" s="387">
        <f>$G$335</f>
        <v>1.1279999999999999</v>
      </c>
      <c r="H219" s="388">
        <f t="shared" si="37"/>
        <v>5346</v>
      </c>
      <c r="I219" s="387">
        <f>Дефляторы!$D$27</f>
        <v>1.0509999999999999</v>
      </c>
      <c r="J219" s="388">
        <f t="shared" si="38"/>
        <v>5619</v>
      </c>
      <c r="K219" s="388">
        <f t="shared" si="39"/>
        <v>5537</v>
      </c>
      <c r="L219" s="194"/>
      <c r="M219" s="194"/>
      <c r="N219" s="194"/>
    </row>
    <row r="220" spans="1:14" s="390" customFormat="1" ht="15.75" hidden="1" outlineLevel="3" x14ac:dyDescent="0.2">
      <c r="A220" s="191" t="s">
        <v>1143</v>
      </c>
      <c r="B220" s="132" t="s">
        <v>586</v>
      </c>
      <c r="C220" s="132" t="s">
        <v>585</v>
      </c>
      <c r="D220" s="314" t="s">
        <v>250</v>
      </c>
      <c r="E220" s="233">
        <v>1</v>
      </c>
      <c r="F220" s="233">
        <f>(24272)*(1.023*1.005-2.3%*15%)*6.99+0*4.09-29</f>
        <v>173817</v>
      </c>
      <c r="G220" s="387">
        <f>$G$335</f>
        <v>1.1279999999999999</v>
      </c>
      <c r="H220" s="388">
        <f t="shared" si="37"/>
        <v>196066</v>
      </c>
      <c r="I220" s="387">
        <f>Дефляторы!$D$27</f>
        <v>1.0509999999999999</v>
      </c>
      <c r="J220" s="388">
        <f t="shared" si="38"/>
        <v>206065</v>
      </c>
      <c r="K220" s="388">
        <f t="shared" si="39"/>
        <v>203065</v>
      </c>
      <c r="L220" s="194"/>
      <c r="M220" s="194"/>
      <c r="N220" s="194"/>
    </row>
    <row r="221" spans="1:14" s="390" customFormat="1" ht="15.75" hidden="1" outlineLevel="3" x14ac:dyDescent="0.2">
      <c r="A221" s="191"/>
      <c r="B221" s="132"/>
      <c r="C221" s="192" t="s">
        <v>992</v>
      </c>
      <c r="D221" s="314"/>
      <c r="E221" s="233"/>
      <c r="F221" s="233"/>
      <c r="G221" s="387"/>
      <c r="H221" s="388"/>
      <c r="I221" s="387">
        <f>Дефляторы!$D$27</f>
        <v>1.0509999999999999</v>
      </c>
      <c r="J221" s="388">
        <f t="shared" si="38"/>
        <v>0</v>
      </c>
      <c r="K221" s="388">
        <f t="shared" si="39"/>
        <v>0</v>
      </c>
      <c r="L221" s="194"/>
      <c r="M221" s="194"/>
      <c r="N221" s="194"/>
    </row>
    <row r="222" spans="1:14" s="390" customFormat="1" ht="25.5" hidden="1" outlineLevel="3" x14ac:dyDescent="0.2">
      <c r="A222" s="191" t="s">
        <v>1144</v>
      </c>
      <c r="B222" s="132" t="s">
        <v>588</v>
      </c>
      <c r="C222" s="132" t="s">
        <v>463</v>
      </c>
      <c r="D222" s="314" t="s">
        <v>283</v>
      </c>
      <c r="E222" s="233">
        <v>1</v>
      </c>
      <c r="F222" s="233">
        <f>(309)*(1.023*1.005-2.3%*15%)*6.99+23057*4.09</f>
        <v>96516</v>
      </c>
      <c r="G222" s="387">
        <f>$G$335</f>
        <v>1.1279999999999999</v>
      </c>
      <c r="H222" s="388">
        <f t="shared" si="37"/>
        <v>108870</v>
      </c>
      <c r="I222" s="387">
        <f>Дефляторы!$D$27</f>
        <v>1.0509999999999999</v>
      </c>
      <c r="J222" s="388">
        <f t="shared" si="38"/>
        <v>114422</v>
      </c>
      <c r="K222" s="388">
        <f t="shared" si="39"/>
        <v>112756</v>
      </c>
      <c r="L222" s="194"/>
      <c r="M222" s="194"/>
      <c r="N222" s="194"/>
    </row>
    <row r="223" spans="1:14" s="390" customFormat="1" ht="25.5" hidden="1" outlineLevel="3" x14ac:dyDescent="0.2">
      <c r="A223" s="191" t="s">
        <v>1145</v>
      </c>
      <c r="B223" s="132" t="s">
        <v>589</v>
      </c>
      <c r="C223" s="132" t="s">
        <v>465</v>
      </c>
      <c r="D223" s="314" t="s">
        <v>283</v>
      </c>
      <c r="E223" s="233">
        <v>1</v>
      </c>
      <c r="F223" s="233">
        <f>(1724)*(1.023*1.005-2.3%*15%)*6.99+38903*4.09</f>
        <v>171461</v>
      </c>
      <c r="G223" s="387">
        <f>$G$335</f>
        <v>1.1279999999999999</v>
      </c>
      <c r="H223" s="388">
        <f t="shared" si="37"/>
        <v>193408</v>
      </c>
      <c r="I223" s="387">
        <f>Дефляторы!$D$27</f>
        <v>1.0509999999999999</v>
      </c>
      <c r="J223" s="388">
        <f t="shared" si="38"/>
        <v>203272</v>
      </c>
      <c r="K223" s="388">
        <f t="shared" si="39"/>
        <v>200313</v>
      </c>
      <c r="L223" s="194"/>
      <c r="M223" s="194"/>
      <c r="N223" s="194"/>
    </row>
    <row r="224" spans="1:14" s="390" customFormat="1" ht="15.75" hidden="1" outlineLevel="3" x14ac:dyDescent="0.2">
      <c r="A224" s="191" t="s">
        <v>1146</v>
      </c>
      <c r="B224" s="132" t="s">
        <v>591</v>
      </c>
      <c r="C224" s="132" t="s">
        <v>590</v>
      </c>
      <c r="D224" s="314" t="s">
        <v>250</v>
      </c>
      <c r="E224" s="233">
        <v>1</v>
      </c>
      <c r="F224" s="233">
        <f>(6903)*(1.023*1.005-2.3%*15%)*6.99+0*4.09</f>
        <v>49442</v>
      </c>
      <c r="G224" s="387">
        <f>$G$335</f>
        <v>1.1279999999999999</v>
      </c>
      <c r="H224" s="388">
        <f t="shared" si="37"/>
        <v>55771</v>
      </c>
      <c r="I224" s="387">
        <f>Дефляторы!$D$27</f>
        <v>1.0509999999999999</v>
      </c>
      <c r="J224" s="388">
        <f t="shared" si="38"/>
        <v>58615</v>
      </c>
      <c r="K224" s="388">
        <f t="shared" si="39"/>
        <v>57762</v>
      </c>
      <c r="L224" s="194"/>
      <c r="M224" s="194"/>
      <c r="N224" s="194"/>
    </row>
    <row r="225" spans="1:14" s="390" customFormat="1" ht="15.75" hidden="1" outlineLevel="3" x14ac:dyDescent="0.2">
      <c r="A225" s="191" t="s">
        <v>1147</v>
      </c>
      <c r="B225" s="132" t="s">
        <v>593</v>
      </c>
      <c r="C225" s="132" t="s">
        <v>592</v>
      </c>
      <c r="D225" s="314" t="s">
        <v>250</v>
      </c>
      <c r="E225" s="233">
        <v>1</v>
      </c>
      <c r="F225" s="233">
        <f>(28114)*(1.023*1.005-2.3%*15%)*6.99+0*4.09-14</f>
        <v>201350</v>
      </c>
      <c r="G225" s="387">
        <f>$G$335</f>
        <v>1.1279999999999999</v>
      </c>
      <c r="H225" s="388">
        <f t="shared" si="37"/>
        <v>227123</v>
      </c>
      <c r="I225" s="387">
        <f>Дефляторы!$D$27</f>
        <v>1.0509999999999999</v>
      </c>
      <c r="J225" s="388">
        <f t="shared" si="38"/>
        <v>238706</v>
      </c>
      <c r="K225" s="388">
        <f t="shared" si="39"/>
        <v>235231</v>
      </c>
      <c r="L225" s="194"/>
      <c r="M225" s="194"/>
      <c r="N225" s="194"/>
    </row>
    <row r="226" spans="1:14" s="390" customFormat="1" ht="15.75" hidden="1" outlineLevel="3" x14ac:dyDescent="0.2">
      <c r="A226" s="191" t="s">
        <v>1148</v>
      </c>
      <c r="B226" s="132" t="s">
        <v>595</v>
      </c>
      <c r="C226" s="132" t="s">
        <v>594</v>
      </c>
      <c r="D226" s="314" t="s">
        <v>250</v>
      </c>
      <c r="E226" s="233">
        <v>1</v>
      </c>
      <c r="F226" s="233">
        <f>(25582)*(1.023*1.005-2.3%*15%)*6.99+0*4.09</f>
        <v>183229</v>
      </c>
      <c r="G226" s="387">
        <f>$G$335</f>
        <v>1.1279999999999999</v>
      </c>
      <c r="H226" s="388">
        <f t="shared" si="37"/>
        <v>206682</v>
      </c>
      <c r="I226" s="387">
        <f>Дефляторы!$D$27</f>
        <v>1.0509999999999999</v>
      </c>
      <c r="J226" s="388">
        <f t="shared" si="38"/>
        <v>217223</v>
      </c>
      <c r="K226" s="388">
        <f t="shared" si="39"/>
        <v>214061</v>
      </c>
      <c r="L226" s="194"/>
      <c r="M226" s="194"/>
      <c r="N226" s="194"/>
    </row>
    <row r="227" spans="1:14" s="390" customFormat="1" ht="15.75" hidden="1" outlineLevel="3" x14ac:dyDescent="0.2">
      <c r="A227" s="191"/>
      <c r="B227" s="132"/>
      <c r="C227" s="192" t="s">
        <v>999</v>
      </c>
      <c r="D227" s="314"/>
      <c r="E227" s="233"/>
      <c r="F227" s="233"/>
      <c r="G227" s="387"/>
      <c r="H227" s="388"/>
      <c r="I227" s="387">
        <f>Дефляторы!$D$27</f>
        <v>1.0509999999999999</v>
      </c>
      <c r="J227" s="388">
        <f t="shared" si="38"/>
        <v>0</v>
      </c>
      <c r="K227" s="388">
        <f t="shared" si="39"/>
        <v>0</v>
      </c>
      <c r="L227" s="389"/>
      <c r="M227" s="194"/>
      <c r="N227" s="194"/>
    </row>
    <row r="228" spans="1:14" s="390" customFormat="1" ht="63.75" hidden="1" outlineLevel="3" x14ac:dyDescent="0.2">
      <c r="A228" s="191" t="s">
        <v>1149</v>
      </c>
      <c r="B228" s="132" t="s">
        <v>597</v>
      </c>
      <c r="C228" s="132" t="s">
        <v>473</v>
      </c>
      <c r="D228" s="315" t="s">
        <v>283</v>
      </c>
      <c r="E228" s="233">
        <v>1</v>
      </c>
      <c r="F228" s="233">
        <f>(1/3*138+3643)*(1.023*1.005-2.3%*15%)*6.99+0*4.09+37</f>
        <v>26459</v>
      </c>
      <c r="G228" s="387">
        <f>$G$335</f>
        <v>1.1279999999999999</v>
      </c>
      <c r="H228" s="388">
        <f t="shared" si="37"/>
        <v>29846</v>
      </c>
      <c r="I228" s="387">
        <f>Дефляторы!$D$27</f>
        <v>1.0509999999999999</v>
      </c>
      <c r="J228" s="388">
        <f t="shared" si="38"/>
        <v>31368</v>
      </c>
      <c r="K228" s="388">
        <f t="shared" si="39"/>
        <v>30911</v>
      </c>
      <c r="L228" s="389" t="s">
        <v>1226</v>
      </c>
      <c r="M228" s="194"/>
      <c r="N228" s="194"/>
    </row>
    <row r="229" spans="1:14" s="390" customFormat="1" ht="63.75" hidden="1" outlineLevel="3" x14ac:dyDescent="0.2">
      <c r="A229" s="191" t="s">
        <v>1150</v>
      </c>
      <c r="B229" s="132" t="s">
        <v>598</v>
      </c>
      <c r="C229" s="132" t="s">
        <v>475</v>
      </c>
      <c r="D229" s="315" t="s">
        <v>283</v>
      </c>
      <c r="E229" s="233">
        <v>1</v>
      </c>
      <c r="F229" s="233">
        <f>(1/3*138+1027)*(1.023*1.005-2.3%*15%)*6.99+0*4.09</f>
        <v>7685</v>
      </c>
      <c r="G229" s="387">
        <f>$G$335</f>
        <v>1.1279999999999999</v>
      </c>
      <c r="H229" s="388">
        <f t="shared" si="37"/>
        <v>8669</v>
      </c>
      <c r="I229" s="387">
        <f>Дефляторы!$D$27</f>
        <v>1.0509999999999999</v>
      </c>
      <c r="J229" s="388">
        <f t="shared" si="38"/>
        <v>9111</v>
      </c>
      <c r="K229" s="388">
        <f t="shared" si="39"/>
        <v>8978</v>
      </c>
      <c r="L229" s="389" t="s">
        <v>1227</v>
      </c>
      <c r="M229" s="194"/>
      <c r="N229" s="194"/>
    </row>
    <row r="230" spans="1:14" s="390" customFormat="1" ht="63.75" hidden="1" outlineLevel="3" x14ac:dyDescent="0.2">
      <c r="A230" s="191" t="s">
        <v>1151</v>
      </c>
      <c r="B230" s="132" t="s">
        <v>599</v>
      </c>
      <c r="C230" s="132" t="s">
        <v>477</v>
      </c>
      <c r="D230" s="315" t="s">
        <v>283</v>
      </c>
      <c r="E230" s="233">
        <v>1</v>
      </c>
      <c r="F230" s="233">
        <f>(1/3*138+917)*(1.023*1.005-2.3%*15%)*6.99+0*4.09</f>
        <v>6897</v>
      </c>
      <c r="G230" s="387">
        <f>$G$335</f>
        <v>1.1279999999999999</v>
      </c>
      <c r="H230" s="388">
        <f t="shared" si="37"/>
        <v>7780</v>
      </c>
      <c r="I230" s="387">
        <f>Дефляторы!$D$27</f>
        <v>1.0509999999999999</v>
      </c>
      <c r="J230" s="388">
        <f t="shared" si="38"/>
        <v>8177</v>
      </c>
      <c r="K230" s="388">
        <f t="shared" si="39"/>
        <v>8058</v>
      </c>
      <c r="L230" s="389" t="s">
        <v>1228</v>
      </c>
      <c r="M230" s="194"/>
      <c r="N230" s="194"/>
    </row>
    <row r="231" spans="1:14" s="362" customFormat="1" ht="15.75" outlineLevel="1" collapsed="1" x14ac:dyDescent="0.2">
      <c r="A231" s="282" t="s">
        <v>920</v>
      </c>
      <c r="B231" s="283"/>
      <c r="C231" s="283" t="s">
        <v>1005</v>
      </c>
      <c r="D231" s="359" t="s">
        <v>250</v>
      </c>
      <c r="E231" s="154">
        <v>1</v>
      </c>
      <c r="F231" s="154">
        <f>SUM(F233:F254)</f>
        <v>26065605</v>
      </c>
      <c r="G231" s="296">
        <f>$G$335</f>
        <v>1.1279999999999999</v>
      </c>
      <c r="H231" s="337">
        <f>SUM(H233:H254)</f>
        <v>29402003</v>
      </c>
      <c r="I231" s="296">
        <f>Дефляторы!$D$27</f>
        <v>1.0509999999999999</v>
      </c>
      <c r="J231" s="337">
        <f>SUM(J233:J254)</f>
        <v>30901505</v>
      </c>
      <c r="K231" s="337">
        <f>SUM(K233:K254)</f>
        <v>30451655</v>
      </c>
      <c r="L231" s="360"/>
      <c r="M231" s="360"/>
      <c r="N231" s="360"/>
    </row>
    <row r="232" spans="1:14" s="373" customFormat="1" ht="15.75" hidden="1" outlineLevel="2" x14ac:dyDescent="0.2">
      <c r="A232" s="208"/>
      <c r="B232" s="100"/>
      <c r="C232" s="267" t="s">
        <v>1000</v>
      </c>
      <c r="D232" s="157"/>
      <c r="E232" s="277"/>
      <c r="F232" s="277"/>
      <c r="G232" s="299"/>
      <c r="H232" s="339"/>
      <c r="I232" s="299">
        <f>Дефляторы!$D$27</f>
        <v>1.0509999999999999</v>
      </c>
      <c r="J232" s="339"/>
      <c r="K232" s="339"/>
      <c r="L232" s="372"/>
      <c r="M232" s="372"/>
      <c r="N232" s="372"/>
    </row>
    <row r="233" spans="1:14" s="373" customFormat="1" ht="15.75" hidden="1" outlineLevel="2" x14ac:dyDescent="0.2">
      <c r="A233" s="208" t="s">
        <v>921</v>
      </c>
      <c r="B233" s="100" t="s">
        <v>627</v>
      </c>
      <c r="C233" s="100" t="s">
        <v>279</v>
      </c>
      <c r="D233" s="157" t="s">
        <v>250</v>
      </c>
      <c r="E233" s="277">
        <v>1</v>
      </c>
      <c r="F233" s="277">
        <f>16058*(1.023*1.005-2.3%*15%)*6.99-21</f>
        <v>114993</v>
      </c>
      <c r="G233" s="299">
        <f t="shared" ref="G233:G239" si="41">$G$335</f>
        <v>1.1279999999999999</v>
      </c>
      <c r="H233" s="339">
        <f t="shared" si="37"/>
        <v>129712</v>
      </c>
      <c r="I233" s="299">
        <f>Дефляторы!$D$27</f>
        <v>1.0509999999999999</v>
      </c>
      <c r="J233" s="339">
        <f t="shared" ref="J233:J254" si="42">H233*I233</f>
        <v>136327</v>
      </c>
      <c r="K233" s="339">
        <f t="shared" ref="K233:K254" si="43">H233+(J233-H233)*(1-30/100)</f>
        <v>134343</v>
      </c>
      <c r="L233" s="372"/>
      <c r="M233" s="372"/>
      <c r="N233" s="372"/>
    </row>
    <row r="234" spans="1:14" s="373" customFormat="1" ht="15.75" hidden="1" outlineLevel="2" x14ac:dyDescent="0.2">
      <c r="A234" s="208" t="s">
        <v>922</v>
      </c>
      <c r="B234" s="100" t="s">
        <v>629</v>
      </c>
      <c r="C234" s="100" t="s">
        <v>628</v>
      </c>
      <c r="D234" s="157" t="s">
        <v>250</v>
      </c>
      <c r="E234" s="277">
        <v>1</v>
      </c>
      <c r="F234" s="277">
        <f>35912*(1.023*1.005-2.3%*15%)*6.99</f>
        <v>257216</v>
      </c>
      <c r="G234" s="299">
        <f t="shared" si="41"/>
        <v>1.1279999999999999</v>
      </c>
      <c r="H234" s="339">
        <f t="shared" si="37"/>
        <v>290140</v>
      </c>
      <c r="I234" s="299">
        <f>Дефляторы!$D$27</f>
        <v>1.0509999999999999</v>
      </c>
      <c r="J234" s="339">
        <f t="shared" si="42"/>
        <v>304937</v>
      </c>
      <c r="K234" s="339">
        <f t="shared" si="43"/>
        <v>300498</v>
      </c>
      <c r="L234" s="372"/>
      <c r="M234" s="372"/>
      <c r="N234" s="372"/>
    </row>
    <row r="235" spans="1:14" s="373" customFormat="1" ht="15.75" hidden="1" outlineLevel="2" x14ac:dyDescent="0.2">
      <c r="A235" s="208" t="s">
        <v>923</v>
      </c>
      <c r="B235" s="100" t="s">
        <v>631</v>
      </c>
      <c r="C235" s="100" t="s">
        <v>630</v>
      </c>
      <c r="D235" s="157" t="s">
        <v>250</v>
      </c>
      <c r="E235" s="277">
        <v>1</v>
      </c>
      <c r="F235" s="277">
        <f>3101*(1.023*1.005-2.3%*15%)*6.99</f>
        <v>22211</v>
      </c>
      <c r="G235" s="299">
        <f t="shared" si="41"/>
        <v>1.1279999999999999</v>
      </c>
      <c r="H235" s="339">
        <f t="shared" si="37"/>
        <v>25054</v>
      </c>
      <c r="I235" s="299">
        <f>Дефляторы!$D$27</f>
        <v>1.0509999999999999</v>
      </c>
      <c r="J235" s="339">
        <f t="shared" si="42"/>
        <v>26332</v>
      </c>
      <c r="K235" s="339">
        <f t="shared" si="43"/>
        <v>25949</v>
      </c>
      <c r="L235" s="372"/>
      <c r="M235" s="372"/>
      <c r="N235" s="372"/>
    </row>
    <row r="236" spans="1:14" s="373" customFormat="1" ht="15.75" hidden="1" outlineLevel="2" x14ac:dyDescent="0.2">
      <c r="A236" s="208" t="s">
        <v>924</v>
      </c>
      <c r="B236" s="100" t="s">
        <v>632</v>
      </c>
      <c r="C236" s="100" t="s">
        <v>443</v>
      </c>
      <c r="D236" s="157" t="s">
        <v>250</v>
      </c>
      <c r="E236" s="277">
        <v>1</v>
      </c>
      <c r="F236" s="277">
        <f>4589*(1.023*1.005-2.3%*15%)*6.99</f>
        <v>32868</v>
      </c>
      <c r="G236" s="299">
        <f t="shared" si="41"/>
        <v>1.1279999999999999</v>
      </c>
      <c r="H236" s="339">
        <f t="shared" si="37"/>
        <v>37075</v>
      </c>
      <c r="I236" s="299">
        <f>Дефляторы!$D$27</f>
        <v>1.0509999999999999</v>
      </c>
      <c r="J236" s="339">
        <f t="shared" si="42"/>
        <v>38966</v>
      </c>
      <c r="K236" s="339">
        <f t="shared" si="43"/>
        <v>38399</v>
      </c>
      <c r="L236" s="372"/>
      <c r="M236" s="372"/>
      <c r="N236" s="372"/>
    </row>
    <row r="237" spans="1:14" s="373" customFormat="1" ht="15.75" hidden="1" outlineLevel="2" x14ac:dyDescent="0.2">
      <c r="A237" s="208" t="s">
        <v>926</v>
      </c>
      <c r="B237" s="100" t="s">
        <v>634</v>
      </c>
      <c r="C237" s="100" t="s">
        <v>633</v>
      </c>
      <c r="D237" s="157" t="s">
        <v>250</v>
      </c>
      <c r="E237" s="277">
        <v>1</v>
      </c>
      <c r="F237" s="277">
        <f>3344*(1.023*1.005-2.3%*15%)*6.99</f>
        <v>23951</v>
      </c>
      <c r="G237" s="299">
        <f t="shared" si="41"/>
        <v>1.1279999999999999</v>
      </c>
      <c r="H237" s="339">
        <f t="shared" si="37"/>
        <v>27017</v>
      </c>
      <c r="I237" s="299">
        <f>Дефляторы!$D$27</f>
        <v>1.0509999999999999</v>
      </c>
      <c r="J237" s="339">
        <f t="shared" si="42"/>
        <v>28395</v>
      </c>
      <c r="K237" s="339">
        <f t="shared" si="43"/>
        <v>27982</v>
      </c>
      <c r="L237" s="372"/>
      <c r="M237" s="372"/>
      <c r="N237" s="372"/>
    </row>
    <row r="238" spans="1:14" s="373" customFormat="1" ht="15.75" hidden="1" outlineLevel="2" x14ac:dyDescent="0.2">
      <c r="A238" s="208" t="s">
        <v>927</v>
      </c>
      <c r="B238" s="100" t="s">
        <v>636</v>
      </c>
      <c r="C238" s="100" t="s">
        <v>635</v>
      </c>
      <c r="D238" s="157" t="s">
        <v>250</v>
      </c>
      <c r="E238" s="277">
        <v>1</v>
      </c>
      <c r="F238" s="277">
        <f>10391*(1.023*1.005-2.3%*15%)*6.99</f>
        <v>74425</v>
      </c>
      <c r="G238" s="299">
        <f t="shared" si="41"/>
        <v>1.1279999999999999</v>
      </c>
      <c r="H238" s="339">
        <f t="shared" si="37"/>
        <v>83951</v>
      </c>
      <c r="I238" s="299">
        <f>Дефляторы!$D$27</f>
        <v>1.0509999999999999</v>
      </c>
      <c r="J238" s="339">
        <f t="shared" si="42"/>
        <v>88233</v>
      </c>
      <c r="K238" s="339">
        <f t="shared" si="43"/>
        <v>86948</v>
      </c>
      <c r="L238" s="372"/>
      <c r="M238" s="372"/>
      <c r="N238" s="372"/>
    </row>
    <row r="239" spans="1:14" s="373" customFormat="1" ht="15.75" hidden="1" outlineLevel="2" x14ac:dyDescent="0.2">
      <c r="A239" s="208" t="s">
        <v>928</v>
      </c>
      <c r="B239" s="100" t="s">
        <v>638</v>
      </c>
      <c r="C239" s="100" t="s">
        <v>637</v>
      </c>
      <c r="D239" s="157" t="s">
        <v>271</v>
      </c>
      <c r="E239" s="382">
        <f>21.2</f>
        <v>21.2</v>
      </c>
      <c r="F239" s="277">
        <f>2698*(1.023*1.005-2.3%*15%)*6.99</f>
        <v>19324</v>
      </c>
      <c r="G239" s="299">
        <f t="shared" si="41"/>
        <v>1.1279999999999999</v>
      </c>
      <c r="H239" s="339">
        <f t="shared" ref="H239:H304" si="44">F239*G239</f>
        <v>21797</v>
      </c>
      <c r="I239" s="299">
        <f>Дефляторы!$D$27</f>
        <v>1.0509999999999999</v>
      </c>
      <c r="J239" s="339">
        <f t="shared" si="42"/>
        <v>22909</v>
      </c>
      <c r="K239" s="339">
        <f t="shared" si="43"/>
        <v>22575</v>
      </c>
      <c r="L239" s="372"/>
      <c r="M239" s="372"/>
      <c r="N239" s="372"/>
    </row>
    <row r="240" spans="1:14" s="373" customFormat="1" ht="15.75" hidden="1" outlineLevel="2" x14ac:dyDescent="0.2">
      <c r="A240" s="208"/>
      <c r="B240" s="100"/>
      <c r="C240" s="267" t="s">
        <v>992</v>
      </c>
      <c r="D240" s="157"/>
      <c r="E240" s="277"/>
      <c r="F240" s="277"/>
      <c r="G240" s="299"/>
      <c r="H240" s="339"/>
      <c r="I240" s="299">
        <f>Дефляторы!$D$27</f>
        <v>1.0509999999999999</v>
      </c>
      <c r="J240" s="339">
        <f t="shared" si="42"/>
        <v>0</v>
      </c>
      <c r="K240" s="339">
        <f t="shared" si="43"/>
        <v>0</v>
      </c>
      <c r="L240" s="372"/>
      <c r="M240" s="372"/>
      <c r="N240" s="372"/>
    </row>
    <row r="241" spans="1:14" s="373" customFormat="1" ht="15.75" hidden="1" outlineLevel="2" x14ac:dyDescent="0.2">
      <c r="A241" s="208" t="s">
        <v>929</v>
      </c>
      <c r="B241" s="100" t="s">
        <v>640</v>
      </c>
      <c r="C241" s="100" t="s">
        <v>639</v>
      </c>
      <c r="D241" s="157" t="s">
        <v>250</v>
      </c>
      <c r="E241" s="277">
        <v>1</v>
      </c>
      <c r="F241" s="277">
        <f>6744*(1.023*1.005-2.3%*15%)*6.99</f>
        <v>48303</v>
      </c>
      <c r="G241" s="299">
        <f>$G$335</f>
        <v>1.1279999999999999</v>
      </c>
      <c r="H241" s="339">
        <f t="shared" si="44"/>
        <v>54486</v>
      </c>
      <c r="I241" s="299">
        <f>Дефляторы!$D$27</f>
        <v>1.0509999999999999</v>
      </c>
      <c r="J241" s="339">
        <f t="shared" si="42"/>
        <v>57265</v>
      </c>
      <c r="K241" s="339">
        <f t="shared" si="43"/>
        <v>56431</v>
      </c>
      <c r="L241" s="372"/>
      <c r="M241" s="372"/>
      <c r="N241" s="372"/>
    </row>
    <row r="242" spans="1:14" s="373" customFormat="1" ht="25.5" hidden="1" outlineLevel="2" x14ac:dyDescent="0.2">
      <c r="A242" s="208" t="s">
        <v>930</v>
      </c>
      <c r="B242" s="100" t="s">
        <v>642</v>
      </c>
      <c r="C242" s="100" t="s">
        <v>641</v>
      </c>
      <c r="D242" s="157" t="s">
        <v>283</v>
      </c>
      <c r="E242" s="277">
        <v>1</v>
      </c>
      <c r="F242" s="277">
        <f>(1059+70466)*(1.023*1.005-2.3%*15%)*6.99+5946634*4.09-24</f>
        <v>24834000</v>
      </c>
      <c r="G242" s="299">
        <f>$G$335</f>
        <v>1.1279999999999999</v>
      </c>
      <c r="H242" s="339">
        <f t="shared" si="44"/>
        <v>28012752</v>
      </c>
      <c r="I242" s="299">
        <f>Дефляторы!$D$27</f>
        <v>1.0509999999999999</v>
      </c>
      <c r="J242" s="339">
        <f t="shared" si="42"/>
        <v>29441402</v>
      </c>
      <c r="K242" s="339">
        <f t="shared" si="43"/>
        <v>29012807</v>
      </c>
      <c r="L242" s="372"/>
      <c r="M242" s="372"/>
      <c r="N242" s="372"/>
    </row>
    <row r="243" spans="1:14" s="373" customFormat="1" ht="15.75" hidden="1" outlineLevel="2" x14ac:dyDescent="0.2">
      <c r="A243" s="208"/>
      <c r="B243" s="100"/>
      <c r="C243" s="267" t="s">
        <v>142</v>
      </c>
      <c r="D243" s="157"/>
      <c r="E243" s="277"/>
      <c r="F243" s="277"/>
      <c r="G243" s="299"/>
      <c r="H243" s="339"/>
      <c r="I243" s="299">
        <f>Дефляторы!$D$27</f>
        <v>1.0509999999999999</v>
      </c>
      <c r="J243" s="339">
        <f t="shared" si="42"/>
        <v>0</v>
      </c>
      <c r="K243" s="339">
        <f t="shared" si="43"/>
        <v>0</v>
      </c>
      <c r="L243" s="375" t="s">
        <v>362</v>
      </c>
      <c r="M243" s="372"/>
      <c r="N243" s="372"/>
    </row>
    <row r="244" spans="1:14" s="373" customFormat="1" ht="15.75" hidden="1" outlineLevel="2" x14ac:dyDescent="0.2">
      <c r="A244" s="208"/>
      <c r="B244" s="100"/>
      <c r="C244" s="267" t="s">
        <v>279</v>
      </c>
      <c r="D244" s="157"/>
      <c r="E244" s="277"/>
      <c r="F244" s="277"/>
      <c r="G244" s="299"/>
      <c r="H244" s="339"/>
      <c r="I244" s="299">
        <f>Дефляторы!$D$27</f>
        <v>1.0509999999999999</v>
      </c>
      <c r="J244" s="339">
        <f t="shared" si="42"/>
        <v>0</v>
      </c>
      <c r="K244" s="339">
        <f t="shared" si="43"/>
        <v>0</v>
      </c>
      <c r="L244" s="372"/>
      <c r="M244" s="372"/>
      <c r="N244" s="372"/>
    </row>
    <row r="245" spans="1:14" s="373" customFormat="1" ht="25.5" hidden="1" outlineLevel="2" x14ac:dyDescent="0.2">
      <c r="A245" s="208" t="s">
        <v>931</v>
      </c>
      <c r="B245" s="100" t="s">
        <v>353</v>
      </c>
      <c r="C245" s="100" t="s">
        <v>265</v>
      </c>
      <c r="D245" s="157" t="s">
        <v>262</v>
      </c>
      <c r="E245" s="277">
        <v>88</v>
      </c>
      <c r="F245" s="277">
        <f>17400*(1.023*1.005-2.3%*15%)*6.99+44</f>
        <v>124670</v>
      </c>
      <c r="G245" s="299">
        <f t="shared" ref="G245:G250" si="45">$G$335</f>
        <v>1.1279999999999999</v>
      </c>
      <c r="H245" s="339">
        <f t="shared" si="44"/>
        <v>140628</v>
      </c>
      <c r="I245" s="299">
        <f>Дефляторы!$D$27</f>
        <v>1.0509999999999999</v>
      </c>
      <c r="J245" s="339">
        <f t="shared" si="42"/>
        <v>147800</v>
      </c>
      <c r="K245" s="339">
        <f t="shared" si="43"/>
        <v>145648</v>
      </c>
      <c r="L245" s="372"/>
      <c r="M245" s="372"/>
      <c r="N245" s="372"/>
    </row>
    <row r="246" spans="1:14" s="373" customFormat="1" ht="15.75" hidden="1" outlineLevel="2" x14ac:dyDescent="0.2">
      <c r="A246" s="208" t="s">
        <v>1152</v>
      </c>
      <c r="B246" s="100" t="s">
        <v>355</v>
      </c>
      <c r="C246" s="100" t="s">
        <v>1224</v>
      </c>
      <c r="D246" s="157" t="s">
        <v>262</v>
      </c>
      <c r="E246" s="382">
        <f>61.6</f>
        <v>61.6</v>
      </c>
      <c r="F246" s="277">
        <f>(1331+555)*(1.023*1.005-2.3%*15%)*6.99</f>
        <v>13508</v>
      </c>
      <c r="G246" s="299">
        <f t="shared" si="45"/>
        <v>1.1279999999999999</v>
      </c>
      <c r="H246" s="339">
        <f t="shared" si="44"/>
        <v>15237</v>
      </c>
      <c r="I246" s="299">
        <f>Дефляторы!$D$27</f>
        <v>1.0509999999999999</v>
      </c>
      <c r="J246" s="339">
        <f t="shared" si="42"/>
        <v>16014</v>
      </c>
      <c r="K246" s="339">
        <f t="shared" si="43"/>
        <v>15781</v>
      </c>
      <c r="L246" s="372"/>
      <c r="M246" s="372"/>
      <c r="N246" s="372"/>
    </row>
    <row r="247" spans="1:14" s="373" customFormat="1" ht="15.75" hidden="1" outlineLevel="2" x14ac:dyDescent="0.2">
      <c r="A247" s="208" t="s">
        <v>1153</v>
      </c>
      <c r="B247" s="100" t="s">
        <v>356</v>
      </c>
      <c r="C247" s="100" t="s">
        <v>500</v>
      </c>
      <c r="D247" s="157" t="s">
        <v>262</v>
      </c>
      <c r="E247" s="382">
        <f>26.4</f>
        <v>26.4</v>
      </c>
      <c r="F247" s="277">
        <f>442*(1.023*1.005-2.3%*15%)*6.99</f>
        <v>3166</v>
      </c>
      <c r="G247" s="299">
        <f t="shared" si="45"/>
        <v>1.1279999999999999</v>
      </c>
      <c r="H247" s="339">
        <f t="shared" si="44"/>
        <v>3571</v>
      </c>
      <c r="I247" s="299">
        <f>Дефляторы!$D$27</f>
        <v>1.0509999999999999</v>
      </c>
      <c r="J247" s="339">
        <f t="shared" si="42"/>
        <v>3753</v>
      </c>
      <c r="K247" s="339">
        <f t="shared" si="43"/>
        <v>3698</v>
      </c>
      <c r="L247" s="372"/>
      <c r="M247" s="372"/>
      <c r="N247" s="372"/>
    </row>
    <row r="248" spans="1:14" s="373" customFormat="1" ht="15.75" hidden="1" outlineLevel="2" x14ac:dyDescent="0.2">
      <c r="A248" s="208" t="s">
        <v>1154</v>
      </c>
      <c r="B248" s="100" t="s">
        <v>357</v>
      </c>
      <c r="C248" s="100" t="s">
        <v>343</v>
      </c>
      <c r="D248" s="157" t="s">
        <v>262</v>
      </c>
      <c r="E248" s="382">
        <f>26.4</f>
        <v>26.4</v>
      </c>
      <c r="F248" s="277">
        <f>(90+63+272)*(1.023*1.005-2.3%*15%)*6.99</f>
        <v>3044</v>
      </c>
      <c r="G248" s="299">
        <f t="shared" si="45"/>
        <v>1.1279999999999999</v>
      </c>
      <c r="H248" s="339">
        <f t="shared" si="44"/>
        <v>3434</v>
      </c>
      <c r="I248" s="299">
        <f>Дефляторы!$D$27</f>
        <v>1.0509999999999999</v>
      </c>
      <c r="J248" s="339">
        <f t="shared" si="42"/>
        <v>3609</v>
      </c>
      <c r="K248" s="339">
        <f t="shared" si="43"/>
        <v>3557</v>
      </c>
      <c r="L248" s="372"/>
      <c r="M248" s="372"/>
      <c r="N248" s="372"/>
    </row>
    <row r="249" spans="1:14" s="373" customFormat="1" ht="25.5" hidden="1" outlineLevel="2" x14ac:dyDescent="0.2">
      <c r="A249" s="208" t="s">
        <v>1155</v>
      </c>
      <c r="B249" s="100" t="s">
        <v>360</v>
      </c>
      <c r="C249" s="100" t="s">
        <v>358</v>
      </c>
      <c r="D249" s="157" t="s">
        <v>363</v>
      </c>
      <c r="E249" s="277">
        <v>27</v>
      </c>
      <c r="F249" s="277">
        <f>(27/63*(286+5408)+740)*(1.023*1.005-2.3%*15%)*6.99</f>
        <v>22779</v>
      </c>
      <c r="G249" s="299">
        <f t="shared" si="45"/>
        <v>1.1279999999999999</v>
      </c>
      <c r="H249" s="339">
        <f t="shared" si="44"/>
        <v>25695</v>
      </c>
      <c r="I249" s="299">
        <f>Дефляторы!$D$27</f>
        <v>1.0509999999999999</v>
      </c>
      <c r="J249" s="339">
        <f t="shared" si="42"/>
        <v>27005</v>
      </c>
      <c r="K249" s="339">
        <f t="shared" si="43"/>
        <v>26612</v>
      </c>
      <c r="L249" s="372"/>
      <c r="M249" s="372"/>
      <c r="N249" s="372"/>
    </row>
    <row r="250" spans="1:14" s="373" customFormat="1" ht="25.5" hidden="1" outlineLevel="2" x14ac:dyDescent="0.2">
      <c r="A250" s="208" t="s">
        <v>1156</v>
      </c>
      <c r="B250" s="100" t="s">
        <v>361</v>
      </c>
      <c r="C250" s="100" t="s">
        <v>359</v>
      </c>
      <c r="D250" s="157" t="s">
        <v>363</v>
      </c>
      <c r="E250" s="277">
        <v>36</v>
      </c>
      <c r="F250" s="277">
        <f>(36/63*(286+5408)+1736)*(1.023*1.005-2.3%*15%)*6.99</f>
        <v>35738</v>
      </c>
      <c r="G250" s="299">
        <f t="shared" si="45"/>
        <v>1.1279999999999999</v>
      </c>
      <c r="H250" s="339">
        <f t="shared" si="44"/>
        <v>40312</v>
      </c>
      <c r="I250" s="299">
        <f>Дефляторы!$D$27</f>
        <v>1.0509999999999999</v>
      </c>
      <c r="J250" s="339">
        <f t="shared" si="42"/>
        <v>42368</v>
      </c>
      <c r="K250" s="339">
        <f t="shared" si="43"/>
        <v>41751</v>
      </c>
      <c r="L250" s="372"/>
      <c r="M250" s="372"/>
      <c r="N250" s="372"/>
    </row>
    <row r="251" spans="1:14" s="373" customFormat="1" ht="15.75" hidden="1" outlineLevel="2" x14ac:dyDescent="0.2">
      <c r="A251" s="208"/>
      <c r="B251" s="100"/>
      <c r="C251" s="267" t="s">
        <v>364</v>
      </c>
      <c r="D251" s="157"/>
      <c r="E251" s="277"/>
      <c r="F251" s="277"/>
      <c r="G251" s="299"/>
      <c r="H251" s="339"/>
      <c r="I251" s="299">
        <f>Дефляторы!$D$27</f>
        <v>1.0509999999999999</v>
      </c>
      <c r="J251" s="339">
        <f t="shared" si="42"/>
        <v>0</v>
      </c>
      <c r="K251" s="339">
        <f t="shared" si="43"/>
        <v>0</v>
      </c>
      <c r="L251" s="372"/>
      <c r="M251" s="372"/>
      <c r="N251" s="372"/>
    </row>
    <row r="252" spans="1:14" s="373" customFormat="1" ht="25.5" hidden="1" outlineLevel="2" x14ac:dyDescent="0.2">
      <c r="A252" s="208" t="s">
        <v>1157</v>
      </c>
      <c r="B252" s="100" t="s">
        <v>365</v>
      </c>
      <c r="C252" s="100" t="s">
        <v>764</v>
      </c>
      <c r="D252" s="157" t="s">
        <v>363</v>
      </c>
      <c r="E252" s="277">
        <v>60</v>
      </c>
      <c r="F252" s="277">
        <f>(961+31107)*(1.023*1.005-2.3%*15%)*6.99</f>
        <v>229684</v>
      </c>
      <c r="G252" s="299">
        <f>$G$335</f>
        <v>1.1279999999999999</v>
      </c>
      <c r="H252" s="339">
        <f t="shared" si="44"/>
        <v>259084</v>
      </c>
      <c r="I252" s="299">
        <f>Дефляторы!$D$27</f>
        <v>1.0509999999999999</v>
      </c>
      <c r="J252" s="339">
        <f t="shared" si="42"/>
        <v>272297</v>
      </c>
      <c r="K252" s="339">
        <f t="shared" si="43"/>
        <v>268333</v>
      </c>
      <c r="L252" s="372"/>
      <c r="M252" s="372"/>
      <c r="N252" s="372"/>
    </row>
    <row r="253" spans="1:14" s="373" customFormat="1" ht="25.5" hidden="1" outlineLevel="2" x14ac:dyDescent="0.2">
      <c r="A253" s="208" t="s">
        <v>1158</v>
      </c>
      <c r="B253" s="100" t="s">
        <v>366</v>
      </c>
      <c r="C253" s="100" t="s">
        <v>765</v>
      </c>
      <c r="D253" s="157" t="s">
        <v>363</v>
      </c>
      <c r="E253" s="277">
        <v>100</v>
      </c>
      <c r="F253" s="277">
        <f>(1032+17141)*(1.023*1.005-2.3%*15%)*6.99</f>
        <v>130162</v>
      </c>
      <c r="G253" s="299">
        <f>$G$335</f>
        <v>1.1279999999999999</v>
      </c>
      <c r="H253" s="339">
        <f t="shared" si="44"/>
        <v>146823</v>
      </c>
      <c r="I253" s="299">
        <f>Дефляторы!$D$27</f>
        <v>1.0509999999999999</v>
      </c>
      <c r="J253" s="339">
        <f t="shared" si="42"/>
        <v>154311</v>
      </c>
      <c r="K253" s="339">
        <f t="shared" si="43"/>
        <v>152065</v>
      </c>
      <c r="L253" s="372"/>
      <c r="M253" s="372"/>
      <c r="N253" s="372"/>
    </row>
    <row r="254" spans="1:14" s="373" customFormat="1" ht="25.5" hidden="1" outlineLevel="2" x14ac:dyDescent="0.2">
      <c r="A254" s="208" t="s">
        <v>1159</v>
      </c>
      <c r="B254" s="100" t="s">
        <v>368</v>
      </c>
      <c r="C254" s="100" t="s">
        <v>367</v>
      </c>
      <c r="D254" s="157" t="s">
        <v>363</v>
      </c>
      <c r="E254" s="277">
        <v>220</v>
      </c>
      <c r="F254" s="277">
        <f>(3541+7009)*(1.023*1.005-2.3%*15%)*6.99</f>
        <v>75563</v>
      </c>
      <c r="G254" s="299">
        <f>$G$335</f>
        <v>1.1279999999999999</v>
      </c>
      <c r="H254" s="339">
        <f t="shared" si="44"/>
        <v>85235</v>
      </c>
      <c r="I254" s="299">
        <f>Дефляторы!$D$27</f>
        <v>1.0509999999999999</v>
      </c>
      <c r="J254" s="339">
        <f t="shared" si="42"/>
        <v>89582</v>
      </c>
      <c r="K254" s="339">
        <f t="shared" si="43"/>
        <v>88278</v>
      </c>
      <c r="L254" s="372"/>
      <c r="M254" s="372"/>
      <c r="N254" s="372"/>
    </row>
    <row r="255" spans="1:14" s="362" customFormat="1" ht="15.75" outlineLevel="1" collapsed="1" x14ac:dyDescent="0.2">
      <c r="A255" s="282" t="s">
        <v>932</v>
      </c>
      <c r="B255" s="283"/>
      <c r="C255" s="283" t="s">
        <v>985</v>
      </c>
      <c r="D255" s="359" t="s">
        <v>250</v>
      </c>
      <c r="E255" s="154">
        <v>1</v>
      </c>
      <c r="F255" s="154">
        <f>SUM(F258:F269)</f>
        <v>2617501</v>
      </c>
      <c r="G255" s="296">
        <f>$G$335</f>
        <v>1.1279999999999999</v>
      </c>
      <c r="H255" s="337">
        <f>SUM(H258:H269)</f>
        <v>2952541</v>
      </c>
      <c r="I255" s="296">
        <f>Дефляторы!$D$27</f>
        <v>1.0509999999999999</v>
      </c>
      <c r="J255" s="337">
        <f>SUM(J258:J269)</f>
        <v>3103119</v>
      </c>
      <c r="K255" s="337">
        <f>SUM(K258:K269)</f>
        <v>3057947</v>
      </c>
      <c r="L255" s="360"/>
      <c r="M255" s="360"/>
      <c r="N255" s="360"/>
    </row>
    <row r="256" spans="1:14" s="373" customFormat="1" ht="15.75" hidden="1" outlineLevel="2" x14ac:dyDescent="0.2">
      <c r="A256" s="208"/>
      <c r="B256" s="100"/>
      <c r="C256" s="267" t="s">
        <v>1003</v>
      </c>
      <c r="D256" s="157"/>
      <c r="E256" s="277"/>
      <c r="F256" s="277"/>
      <c r="G256" s="299"/>
      <c r="H256" s="339"/>
      <c r="I256" s="299">
        <f>Дефляторы!$D$27</f>
        <v>1.0509999999999999</v>
      </c>
      <c r="J256" s="339"/>
      <c r="K256" s="339"/>
      <c r="L256" s="372"/>
      <c r="M256" s="372"/>
      <c r="N256" s="372"/>
    </row>
    <row r="257" spans="1:14" s="373" customFormat="1" ht="15.75" hidden="1" outlineLevel="2" x14ac:dyDescent="0.2">
      <c r="A257" s="208"/>
      <c r="B257" s="100"/>
      <c r="C257" s="267" t="s">
        <v>279</v>
      </c>
      <c r="D257" s="157"/>
      <c r="E257" s="277"/>
      <c r="F257" s="277"/>
      <c r="G257" s="299"/>
      <c r="H257" s="339"/>
      <c r="I257" s="299">
        <f>Дефляторы!$D$27</f>
        <v>1.0509999999999999</v>
      </c>
      <c r="J257" s="339"/>
      <c r="K257" s="339"/>
      <c r="L257" s="372"/>
      <c r="M257" s="372"/>
      <c r="N257" s="372"/>
    </row>
    <row r="258" spans="1:14" s="373" customFormat="1" ht="25.5" hidden="1" outlineLevel="2" x14ac:dyDescent="0.2">
      <c r="A258" s="208" t="s">
        <v>933</v>
      </c>
      <c r="B258" s="100" t="s">
        <v>643</v>
      </c>
      <c r="C258" s="100" t="s">
        <v>265</v>
      </c>
      <c r="D258" s="157" t="s">
        <v>262</v>
      </c>
      <c r="E258" s="157">
        <f>79.93</f>
        <v>79.930000000000007</v>
      </c>
      <c r="F258" s="277">
        <f>15939*(1.023*1.005-2.3%*15%)*6.99-35</f>
        <v>114127</v>
      </c>
      <c r="G258" s="299">
        <f>$G$335</f>
        <v>1.1279999999999999</v>
      </c>
      <c r="H258" s="339">
        <f t="shared" si="44"/>
        <v>128735</v>
      </c>
      <c r="I258" s="299">
        <f>Дефляторы!$D$27</f>
        <v>1.0509999999999999</v>
      </c>
      <c r="J258" s="339">
        <f t="shared" ref="J258:J310" si="46">H258*I258</f>
        <v>135300</v>
      </c>
      <c r="K258" s="339">
        <f t="shared" ref="K258:K310" si="47">H258+(J258-H258)*(1-30/100)</f>
        <v>133331</v>
      </c>
      <c r="L258" s="375" t="s">
        <v>647</v>
      </c>
      <c r="M258" s="372"/>
      <c r="N258" s="372"/>
    </row>
    <row r="259" spans="1:14" s="373" customFormat="1" ht="63.75" hidden="1" outlineLevel="2" x14ac:dyDescent="0.2">
      <c r="A259" s="208" t="s">
        <v>934</v>
      </c>
      <c r="B259" s="100" t="s">
        <v>645</v>
      </c>
      <c r="C259" s="100" t="s">
        <v>644</v>
      </c>
      <c r="D259" s="157" t="s">
        <v>262</v>
      </c>
      <c r="E259" s="157">
        <f>51.73+25.2</f>
        <v>76.930000000000007</v>
      </c>
      <c r="F259" s="277">
        <f>(898+566+2050+788+1655+47)*(1.023*1.005-2.3%*15%)*6.99</f>
        <v>43003</v>
      </c>
      <c r="G259" s="299">
        <f>$G$335</f>
        <v>1.1279999999999999</v>
      </c>
      <c r="H259" s="339">
        <f t="shared" si="44"/>
        <v>48507</v>
      </c>
      <c r="I259" s="299">
        <f>Дефляторы!$D$27</f>
        <v>1.0509999999999999</v>
      </c>
      <c r="J259" s="339">
        <f t="shared" si="46"/>
        <v>50981</v>
      </c>
      <c r="K259" s="339">
        <f t="shared" si="47"/>
        <v>50239</v>
      </c>
      <c r="L259" s="375" t="s">
        <v>646</v>
      </c>
      <c r="M259" s="372"/>
      <c r="N259" s="372"/>
    </row>
    <row r="260" spans="1:14" s="373" customFormat="1" ht="15.75" hidden="1" outlineLevel="2" x14ac:dyDescent="0.2">
      <c r="A260" s="208" t="s">
        <v>935</v>
      </c>
      <c r="B260" s="100" t="s">
        <v>648</v>
      </c>
      <c r="C260" s="100" t="s">
        <v>343</v>
      </c>
      <c r="D260" s="157" t="s">
        <v>262</v>
      </c>
      <c r="E260" s="157">
        <f>51.73</f>
        <v>51.73</v>
      </c>
      <c r="F260" s="277">
        <f>(156+544)*(1.023*1.005-2.3%*15%)*6.99</f>
        <v>5014</v>
      </c>
      <c r="G260" s="299">
        <f>$G$335</f>
        <v>1.1279999999999999</v>
      </c>
      <c r="H260" s="339">
        <f t="shared" si="44"/>
        <v>5656</v>
      </c>
      <c r="I260" s="299">
        <f>Дефляторы!$D$27</f>
        <v>1.0509999999999999</v>
      </c>
      <c r="J260" s="339">
        <f t="shared" si="46"/>
        <v>5944</v>
      </c>
      <c r="K260" s="339">
        <f t="shared" si="47"/>
        <v>5858</v>
      </c>
      <c r="L260" s="401"/>
      <c r="M260" s="372"/>
      <c r="N260" s="372"/>
    </row>
    <row r="261" spans="1:14" s="373" customFormat="1" ht="25.5" hidden="1" outlineLevel="2" x14ac:dyDescent="0.2">
      <c r="A261" s="208" t="s">
        <v>936</v>
      </c>
      <c r="B261" s="100" t="s">
        <v>651</v>
      </c>
      <c r="C261" s="100" t="s">
        <v>649</v>
      </c>
      <c r="D261" s="157" t="s">
        <v>363</v>
      </c>
      <c r="E261" s="277">
        <v>210</v>
      </c>
      <c r="F261" s="277">
        <f>(953+1532+101380)*(1.023*1.005-2.3%*15%)*6.99</f>
        <v>743924</v>
      </c>
      <c r="G261" s="299">
        <f>$G$335</f>
        <v>1.1279999999999999</v>
      </c>
      <c r="H261" s="339">
        <f t="shared" si="44"/>
        <v>839146</v>
      </c>
      <c r="I261" s="299">
        <f>Дефляторы!$D$27</f>
        <v>1.0509999999999999</v>
      </c>
      <c r="J261" s="339">
        <f t="shared" si="46"/>
        <v>881942</v>
      </c>
      <c r="K261" s="339">
        <f t="shared" si="47"/>
        <v>869103</v>
      </c>
      <c r="L261" s="375" t="s">
        <v>650</v>
      </c>
      <c r="M261" s="372"/>
      <c r="N261" s="372"/>
    </row>
    <row r="262" spans="1:14" s="373" customFormat="1" ht="15.75" hidden="1" outlineLevel="2" x14ac:dyDescent="0.2">
      <c r="A262" s="208" t="s">
        <v>937</v>
      </c>
      <c r="B262" s="100" t="s">
        <v>652</v>
      </c>
      <c r="C262" s="100" t="s">
        <v>364</v>
      </c>
      <c r="D262" s="157" t="s">
        <v>250</v>
      </c>
      <c r="E262" s="277">
        <v>1</v>
      </c>
      <c r="F262" s="277">
        <f>(2633+104612)*(1.023*1.005-2.3%*15%)*6.99+15203*4.09</f>
        <v>830313</v>
      </c>
      <c r="G262" s="299">
        <f>$G$335</f>
        <v>1.1279999999999999</v>
      </c>
      <c r="H262" s="339">
        <f t="shared" si="44"/>
        <v>936593</v>
      </c>
      <c r="I262" s="299">
        <f>Дефляторы!$D$27</f>
        <v>1.0509999999999999</v>
      </c>
      <c r="J262" s="339">
        <f t="shared" si="46"/>
        <v>984359</v>
      </c>
      <c r="K262" s="339">
        <f t="shared" si="47"/>
        <v>970029</v>
      </c>
      <c r="L262" s="372"/>
      <c r="M262" s="372"/>
      <c r="N262" s="372"/>
    </row>
    <row r="263" spans="1:14" s="373" customFormat="1" ht="15.75" hidden="1" outlineLevel="2" x14ac:dyDescent="0.2">
      <c r="A263" s="208"/>
      <c r="B263" s="100"/>
      <c r="C263" s="267" t="s">
        <v>1004</v>
      </c>
      <c r="D263" s="157"/>
      <c r="E263" s="277"/>
      <c r="F263" s="277"/>
      <c r="G263" s="299"/>
      <c r="H263" s="339"/>
      <c r="I263" s="299">
        <f>Дефляторы!$D$27</f>
        <v>1.0509999999999999</v>
      </c>
      <c r="J263" s="339">
        <f t="shared" si="46"/>
        <v>0</v>
      </c>
      <c r="K263" s="339">
        <f t="shared" si="47"/>
        <v>0</v>
      </c>
      <c r="L263" s="372"/>
      <c r="M263" s="372"/>
      <c r="N263" s="372"/>
    </row>
    <row r="264" spans="1:14" s="373" customFormat="1" ht="15.75" hidden="1" outlineLevel="2" x14ac:dyDescent="0.2">
      <c r="A264" s="208"/>
      <c r="B264" s="100"/>
      <c r="C264" s="267" t="s">
        <v>279</v>
      </c>
      <c r="D264" s="157"/>
      <c r="E264" s="277"/>
      <c r="F264" s="277"/>
      <c r="G264" s="299"/>
      <c r="H264" s="339"/>
      <c r="I264" s="299">
        <f>Дефляторы!$D$27</f>
        <v>1.0509999999999999</v>
      </c>
      <c r="J264" s="339">
        <f t="shared" si="46"/>
        <v>0</v>
      </c>
      <c r="K264" s="339">
        <f t="shared" si="47"/>
        <v>0</v>
      </c>
      <c r="L264" s="372"/>
      <c r="M264" s="372"/>
      <c r="N264" s="372"/>
    </row>
    <row r="265" spans="1:14" s="373" customFormat="1" ht="25.5" hidden="1" outlineLevel="2" x14ac:dyDescent="0.2">
      <c r="A265" s="208" t="s">
        <v>938</v>
      </c>
      <c r="B265" s="100" t="s">
        <v>653</v>
      </c>
      <c r="C265" s="100" t="s">
        <v>265</v>
      </c>
      <c r="D265" s="157" t="s">
        <v>262</v>
      </c>
      <c r="E265" s="157">
        <f>47.26</f>
        <v>47.26</v>
      </c>
      <c r="F265" s="277">
        <f>9424*(1.023*1.005-2.3%*15%)*6.99+14</f>
        <v>67513</v>
      </c>
      <c r="G265" s="299">
        <f t="shared" ref="G265:G300" si="48">$G$335</f>
        <v>1.1279999999999999</v>
      </c>
      <c r="H265" s="339">
        <f t="shared" si="44"/>
        <v>76155</v>
      </c>
      <c r="I265" s="299">
        <f>Дефляторы!$D$27</f>
        <v>1.0509999999999999</v>
      </c>
      <c r="J265" s="339">
        <f t="shared" si="46"/>
        <v>80039</v>
      </c>
      <c r="K265" s="339">
        <f t="shared" si="47"/>
        <v>78874</v>
      </c>
      <c r="L265" s="372"/>
      <c r="M265" s="372"/>
      <c r="N265" s="372"/>
    </row>
    <row r="266" spans="1:14" s="373" customFormat="1" ht="63.75" hidden="1" outlineLevel="2" x14ac:dyDescent="0.2">
      <c r="A266" s="208" t="s">
        <v>939</v>
      </c>
      <c r="B266" s="100" t="s">
        <v>655</v>
      </c>
      <c r="C266" s="100" t="s">
        <v>654</v>
      </c>
      <c r="D266" s="157" t="s">
        <v>262</v>
      </c>
      <c r="E266" s="157">
        <f>31.78+15.48</f>
        <v>47.26</v>
      </c>
      <c r="F266" s="277">
        <f>(552+348+1260+484+1017+29)*(1.023*1.005-2.3%*15%)*6.99</f>
        <v>26429</v>
      </c>
      <c r="G266" s="299">
        <f t="shared" si="48"/>
        <v>1.1279999999999999</v>
      </c>
      <c r="H266" s="339">
        <f t="shared" si="44"/>
        <v>29812</v>
      </c>
      <c r="I266" s="299">
        <f>Дефляторы!$D$27</f>
        <v>1.0509999999999999</v>
      </c>
      <c r="J266" s="339">
        <f t="shared" si="46"/>
        <v>31332</v>
      </c>
      <c r="K266" s="339">
        <f t="shared" si="47"/>
        <v>30876</v>
      </c>
      <c r="L266" s="375" t="s">
        <v>646</v>
      </c>
      <c r="M266" s="372"/>
      <c r="N266" s="372"/>
    </row>
    <row r="267" spans="1:14" s="373" customFormat="1" ht="15.75" hidden="1" outlineLevel="2" x14ac:dyDescent="0.2">
      <c r="A267" s="208" t="s">
        <v>940</v>
      </c>
      <c r="B267" s="100" t="s">
        <v>656</v>
      </c>
      <c r="C267" s="100" t="s">
        <v>343</v>
      </c>
      <c r="D267" s="157" t="s">
        <v>262</v>
      </c>
      <c r="E267" s="157">
        <f>31.78</f>
        <v>31.78</v>
      </c>
      <c r="F267" s="277">
        <f>(96+333)*(1.023*1.005-2.3%*15%)*6.99</f>
        <v>3073</v>
      </c>
      <c r="G267" s="299">
        <f t="shared" si="48"/>
        <v>1.1279999999999999</v>
      </c>
      <c r="H267" s="339">
        <f t="shared" si="44"/>
        <v>3466</v>
      </c>
      <c r="I267" s="299">
        <f>Дефляторы!$D$27</f>
        <v>1.0509999999999999</v>
      </c>
      <c r="J267" s="339">
        <f t="shared" si="46"/>
        <v>3643</v>
      </c>
      <c r="K267" s="339">
        <f t="shared" si="47"/>
        <v>3590</v>
      </c>
      <c r="L267" s="372"/>
      <c r="M267" s="372"/>
      <c r="N267" s="372"/>
    </row>
    <row r="268" spans="1:14" s="373" customFormat="1" ht="63.75" hidden="1" outlineLevel="2" x14ac:dyDescent="0.2">
      <c r="A268" s="208" t="s">
        <v>941</v>
      </c>
      <c r="B268" s="100" t="s">
        <v>658</v>
      </c>
      <c r="C268" s="100" t="s">
        <v>657</v>
      </c>
      <c r="D268" s="157" t="s">
        <v>363</v>
      </c>
      <c r="E268" s="277">
        <v>258</v>
      </c>
      <c r="F268" s="277">
        <f>(1171+941+59542)*(1.023*1.005-2.3%*15%)*6.99</f>
        <v>441591</v>
      </c>
      <c r="G268" s="299">
        <f t="shared" si="48"/>
        <v>1.1279999999999999</v>
      </c>
      <c r="H268" s="339">
        <f t="shared" si="44"/>
        <v>498115</v>
      </c>
      <c r="I268" s="299">
        <f>Дефляторы!$D$27</f>
        <v>1.0509999999999999</v>
      </c>
      <c r="J268" s="339">
        <f t="shared" si="46"/>
        <v>523519</v>
      </c>
      <c r="K268" s="339">
        <f t="shared" si="47"/>
        <v>515898</v>
      </c>
      <c r="L268" s="375" t="s">
        <v>1332</v>
      </c>
      <c r="M268" s="372"/>
      <c r="N268" s="372"/>
    </row>
    <row r="269" spans="1:14" s="373" customFormat="1" ht="15.75" hidden="1" outlineLevel="2" x14ac:dyDescent="0.2">
      <c r="A269" s="208" t="s">
        <v>942</v>
      </c>
      <c r="B269" s="100" t="s">
        <v>659</v>
      </c>
      <c r="C269" s="100" t="s">
        <v>364</v>
      </c>
      <c r="D269" s="157" t="s">
        <v>250</v>
      </c>
      <c r="E269" s="277">
        <v>1</v>
      </c>
      <c r="F269" s="277">
        <f>(47821)*(1.023*1.005-2.3%*15%)*6.99</f>
        <v>342514</v>
      </c>
      <c r="G269" s="299">
        <f t="shared" si="48"/>
        <v>1.1279999999999999</v>
      </c>
      <c r="H269" s="339">
        <f t="shared" si="44"/>
        <v>386356</v>
      </c>
      <c r="I269" s="299">
        <f>Дефляторы!$D$27</f>
        <v>1.0509999999999999</v>
      </c>
      <c r="J269" s="339">
        <f t="shared" si="46"/>
        <v>406060</v>
      </c>
      <c r="K269" s="339">
        <f t="shared" si="47"/>
        <v>400149</v>
      </c>
      <c r="L269" s="372"/>
      <c r="M269" s="372"/>
      <c r="N269" s="372"/>
    </row>
    <row r="270" spans="1:14" s="362" customFormat="1" ht="15.75" outlineLevel="1" collapsed="1" x14ac:dyDescent="0.2">
      <c r="A270" s="282" t="s">
        <v>944</v>
      </c>
      <c r="B270" s="283" t="s">
        <v>40</v>
      </c>
      <c r="C270" s="283" t="s">
        <v>102</v>
      </c>
      <c r="D270" s="359" t="s">
        <v>250</v>
      </c>
      <c r="E270" s="154">
        <v>1</v>
      </c>
      <c r="F270" s="154">
        <f>(3694+48016)*(1.023*1.005-2.3%*15%)*6.99+4950*4.09</f>
        <v>390614</v>
      </c>
      <c r="G270" s="296">
        <f t="shared" si="48"/>
        <v>1.1279999999999999</v>
      </c>
      <c r="H270" s="337">
        <f t="shared" si="44"/>
        <v>440613</v>
      </c>
      <c r="I270" s="296">
        <f>Дефляторы!$D$27</f>
        <v>1.0509999999999999</v>
      </c>
      <c r="J270" s="337">
        <f t="shared" si="46"/>
        <v>463084</v>
      </c>
      <c r="K270" s="337">
        <f t="shared" si="47"/>
        <v>456343</v>
      </c>
      <c r="L270" s="360"/>
      <c r="M270" s="360"/>
      <c r="N270" s="360"/>
    </row>
    <row r="271" spans="1:14" s="362" customFormat="1" ht="15.75" outlineLevel="1" x14ac:dyDescent="0.2">
      <c r="A271" s="282" t="s">
        <v>945</v>
      </c>
      <c r="B271" s="283"/>
      <c r="C271" s="283" t="s">
        <v>986</v>
      </c>
      <c r="D271" s="359" t="s">
        <v>250</v>
      </c>
      <c r="E271" s="154">
        <v>1</v>
      </c>
      <c r="F271" s="154">
        <f>SUM(F272:F294)</f>
        <v>1127740</v>
      </c>
      <c r="G271" s="296">
        <f t="shared" si="48"/>
        <v>1.1279999999999999</v>
      </c>
      <c r="H271" s="337">
        <f>SUM(H272:H294)</f>
        <v>1272090</v>
      </c>
      <c r="I271" s="296">
        <f>Дефляторы!$D$27</f>
        <v>1.0509999999999999</v>
      </c>
      <c r="J271" s="337">
        <f>SUM(J272:J294)</f>
        <v>1336968</v>
      </c>
      <c r="K271" s="337">
        <f>SUM(K272:K294)</f>
        <v>1317505</v>
      </c>
      <c r="L271" s="360"/>
      <c r="M271" s="360"/>
      <c r="N271" s="360"/>
    </row>
    <row r="272" spans="1:14" s="373" customFormat="1" ht="15.75" hidden="1" outlineLevel="2" x14ac:dyDescent="0.2">
      <c r="A272" s="208" t="s">
        <v>1160</v>
      </c>
      <c r="B272" s="100" t="s">
        <v>370</v>
      </c>
      <c r="C272" s="100" t="s">
        <v>369</v>
      </c>
      <c r="D272" s="157" t="s">
        <v>305</v>
      </c>
      <c r="E272" s="277">
        <v>4</v>
      </c>
      <c r="F272" s="277">
        <f>(1856)*(1.023*1.005-2.3%*15%)*6.99+36610*4.09</f>
        <v>163028</v>
      </c>
      <c r="G272" s="299">
        <f t="shared" si="48"/>
        <v>1.1279999999999999</v>
      </c>
      <c r="H272" s="339">
        <f t="shared" si="44"/>
        <v>183896</v>
      </c>
      <c r="I272" s="299">
        <f>Дефляторы!$D$27</f>
        <v>1.0509999999999999</v>
      </c>
      <c r="J272" s="339">
        <f t="shared" si="46"/>
        <v>193275</v>
      </c>
      <c r="K272" s="339">
        <f t="shared" si="47"/>
        <v>190461</v>
      </c>
      <c r="L272" s="372"/>
      <c r="M272" s="372"/>
      <c r="N272" s="372"/>
    </row>
    <row r="273" spans="1:14" s="373" customFormat="1" ht="25.5" hidden="1" outlineLevel="2" x14ac:dyDescent="0.2">
      <c r="A273" s="208" t="s">
        <v>1161</v>
      </c>
      <c r="B273" s="100" t="s">
        <v>372</v>
      </c>
      <c r="C273" s="100" t="s">
        <v>371</v>
      </c>
      <c r="D273" s="157" t="s">
        <v>305</v>
      </c>
      <c r="E273" s="277">
        <v>8</v>
      </c>
      <c r="F273" s="277">
        <f>(2270)*(1.023*1.005-2.3%*15%)*6.99+32309*4.09</f>
        <v>148402</v>
      </c>
      <c r="G273" s="299">
        <f t="shared" si="48"/>
        <v>1.1279999999999999</v>
      </c>
      <c r="H273" s="339">
        <f t="shared" si="44"/>
        <v>167397</v>
      </c>
      <c r="I273" s="299">
        <f>Дефляторы!$D$27</f>
        <v>1.0509999999999999</v>
      </c>
      <c r="J273" s="339">
        <f t="shared" si="46"/>
        <v>175934</v>
      </c>
      <c r="K273" s="339">
        <f t="shared" si="47"/>
        <v>173373</v>
      </c>
      <c r="L273" s="372"/>
      <c r="M273" s="372"/>
      <c r="N273" s="372"/>
    </row>
    <row r="274" spans="1:14" s="373" customFormat="1" ht="15.75" hidden="1" outlineLevel="2" x14ac:dyDescent="0.2">
      <c r="A274" s="208" t="s">
        <v>1162</v>
      </c>
      <c r="B274" s="100" t="s">
        <v>374</v>
      </c>
      <c r="C274" s="100" t="s">
        <v>373</v>
      </c>
      <c r="D274" s="157" t="s">
        <v>305</v>
      </c>
      <c r="E274" s="277">
        <v>4</v>
      </c>
      <c r="F274" s="277">
        <f>(123)*(1.023*1.005-2.3%*15%)*6.99+416*4.09</f>
        <v>2582</v>
      </c>
      <c r="G274" s="299">
        <f t="shared" si="48"/>
        <v>1.1279999999999999</v>
      </c>
      <c r="H274" s="339">
        <f t="shared" si="44"/>
        <v>2912</v>
      </c>
      <c r="I274" s="299">
        <f>Дефляторы!$D$27</f>
        <v>1.0509999999999999</v>
      </c>
      <c r="J274" s="339">
        <f t="shared" si="46"/>
        <v>3061</v>
      </c>
      <c r="K274" s="339">
        <f t="shared" si="47"/>
        <v>3016</v>
      </c>
      <c r="L274" s="372"/>
      <c r="M274" s="372"/>
      <c r="N274" s="372"/>
    </row>
    <row r="275" spans="1:14" s="373" customFormat="1" ht="25.5" hidden="1" outlineLevel="2" x14ac:dyDescent="0.2">
      <c r="A275" s="208" t="s">
        <v>1163</v>
      </c>
      <c r="B275" s="100" t="s">
        <v>376</v>
      </c>
      <c r="C275" s="100" t="s">
        <v>375</v>
      </c>
      <c r="D275" s="157" t="s">
        <v>305</v>
      </c>
      <c r="E275" s="277">
        <v>4</v>
      </c>
      <c r="F275" s="277">
        <f>(1078)*(1.023*1.005-2.3%*15%)*6.99+1940*4.09</f>
        <v>15656</v>
      </c>
      <c r="G275" s="299">
        <f t="shared" si="48"/>
        <v>1.1279999999999999</v>
      </c>
      <c r="H275" s="339">
        <f t="shared" si="44"/>
        <v>17660</v>
      </c>
      <c r="I275" s="299">
        <f>Дефляторы!$D$27</f>
        <v>1.0509999999999999</v>
      </c>
      <c r="J275" s="339">
        <f t="shared" si="46"/>
        <v>18561</v>
      </c>
      <c r="K275" s="339">
        <f t="shared" si="47"/>
        <v>18291</v>
      </c>
      <c r="L275" s="372"/>
      <c r="M275" s="372"/>
      <c r="N275" s="372"/>
    </row>
    <row r="276" spans="1:14" s="373" customFormat="1" ht="25.5" hidden="1" outlineLevel="2" x14ac:dyDescent="0.2">
      <c r="A276" s="208" t="s">
        <v>1164</v>
      </c>
      <c r="B276" s="100" t="s">
        <v>378</v>
      </c>
      <c r="C276" s="100" t="s">
        <v>377</v>
      </c>
      <c r="D276" s="157" t="s">
        <v>305</v>
      </c>
      <c r="E276" s="277">
        <v>4</v>
      </c>
      <c r="F276" s="277">
        <f>(190)*(1.023*1.005-2.3%*15%)*6.99+1545*4.09</f>
        <v>7680</v>
      </c>
      <c r="G276" s="299">
        <f t="shared" si="48"/>
        <v>1.1279999999999999</v>
      </c>
      <c r="H276" s="339">
        <f t="shared" si="44"/>
        <v>8663</v>
      </c>
      <c r="I276" s="299">
        <f>Дефляторы!$D$27</f>
        <v>1.0509999999999999</v>
      </c>
      <c r="J276" s="339">
        <f t="shared" si="46"/>
        <v>9105</v>
      </c>
      <c r="K276" s="339">
        <f t="shared" si="47"/>
        <v>8972</v>
      </c>
      <c r="L276" s="372"/>
      <c r="M276" s="372"/>
      <c r="N276" s="372"/>
    </row>
    <row r="277" spans="1:14" s="373" customFormat="1" ht="25.5" hidden="1" outlineLevel="2" x14ac:dyDescent="0.2">
      <c r="A277" s="208" t="s">
        <v>1165</v>
      </c>
      <c r="B277" s="100" t="s">
        <v>380</v>
      </c>
      <c r="C277" s="100" t="s">
        <v>379</v>
      </c>
      <c r="D277" s="157" t="s">
        <v>305</v>
      </c>
      <c r="E277" s="277">
        <v>8</v>
      </c>
      <c r="F277" s="277">
        <f>(2771+7102)*(1.023*1.005-2.3%*15%)*6.99+0*4.09</f>
        <v>70714</v>
      </c>
      <c r="G277" s="299">
        <f t="shared" si="48"/>
        <v>1.1279999999999999</v>
      </c>
      <c r="H277" s="339">
        <f t="shared" si="44"/>
        <v>79765</v>
      </c>
      <c r="I277" s="299">
        <f>Дефляторы!$D$27</f>
        <v>1.0509999999999999</v>
      </c>
      <c r="J277" s="339">
        <f t="shared" si="46"/>
        <v>83833</v>
      </c>
      <c r="K277" s="339">
        <f t="shared" si="47"/>
        <v>82613</v>
      </c>
      <c r="L277" s="372"/>
      <c r="M277" s="372"/>
      <c r="N277" s="372"/>
    </row>
    <row r="278" spans="1:14" s="373" customFormat="1" ht="25.5" hidden="1" outlineLevel="2" x14ac:dyDescent="0.2">
      <c r="A278" s="208" t="s">
        <v>1166</v>
      </c>
      <c r="B278" s="100" t="s">
        <v>382</v>
      </c>
      <c r="C278" s="100" t="s">
        <v>381</v>
      </c>
      <c r="D278" s="157" t="s">
        <v>305</v>
      </c>
      <c r="E278" s="277">
        <v>12</v>
      </c>
      <c r="F278" s="277">
        <f>(1270)*(1.023*1.005-2.3%*15%)*6.99+58591*4.09+9</f>
        <v>248742</v>
      </c>
      <c r="G278" s="299">
        <f t="shared" si="48"/>
        <v>1.1279999999999999</v>
      </c>
      <c r="H278" s="339">
        <f t="shared" si="44"/>
        <v>280581</v>
      </c>
      <c r="I278" s="299">
        <f>Дефляторы!$D$27</f>
        <v>1.0509999999999999</v>
      </c>
      <c r="J278" s="339">
        <f t="shared" si="46"/>
        <v>294891</v>
      </c>
      <c r="K278" s="339">
        <f t="shared" si="47"/>
        <v>290598</v>
      </c>
      <c r="L278" s="372"/>
      <c r="M278" s="372"/>
      <c r="N278" s="372"/>
    </row>
    <row r="279" spans="1:14" s="373" customFormat="1" ht="15.75" hidden="1" outlineLevel="2" x14ac:dyDescent="0.2">
      <c r="A279" s="208" t="s">
        <v>1167</v>
      </c>
      <c r="B279" s="100" t="s">
        <v>386</v>
      </c>
      <c r="C279" s="100" t="s">
        <v>383</v>
      </c>
      <c r="D279" s="157" t="s">
        <v>305</v>
      </c>
      <c r="E279" s="277">
        <v>4</v>
      </c>
      <c r="F279" s="277">
        <f>(143)*(1.023*1.005-2.3%*15%)*6.99+5555*4.09</f>
        <v>23744</v>
      </c>
      <c r="G279" s="299">
        <f t="shared" si="48"/>
        <v>1.1279999999999999</v>
      </c>
      <c r="H279" s="339">
        <f t="shared" si="44"/>
        <v>26783</v>
      </c>
      <c r="I279" s="299">
        <f>Дефляторы!$D$27</f>
        <v>1.0509999999999999</v>
      </c>
      <c r="J279" s="339">
        <f t="shared" si="46"/>
        <v>28149</v>
      </c>
      <c r="K279" s="339">
        <f t="shared" si="47"/>
        <v>27739</v>
      </c>
      <c r="L279" s="372"/>
      <c r="M279" s="372"/>
      <c r="N279" s="372"/>
    </row>
    <row r="280" spans="1:14" s="381" customFormat="1" ht="63.75" hidden="1" outlineLevel="2" x14ac:dyDescent="0.2">
      <c r="A280" s="312" t="s">
        <v>1168</v>
      </c>
      <c r="B280" s="171" t="s">
        <v>385</v>
      </c>
      <c r="C280" s="171" t="s">
        <v>384</v>
      </c>
      <c r="D280" s="316" t="s">
        <v>305</v>
      </c>
      <c r="E280" s="170">
        <v>4</v>
      </c>
      <c r="F280" s="170">
        <f>(4283)*(1.023*1.005-2.3%*15%)*6.99+0*4.09</f>
        <v>30677</v>
      </c>
      <c r="G280" s="376">
        <f t="shared" si="48"/>
        <v>1.1279999999999999</v>
      </c>
      <c r="H280" s="377">
        <f t="shared" si="44"/>
        <v>34604</v>
      </c>
      <c r="I280" s="376">
        <f>Дефляторы!$D$27</f>
        <v>1.0509999999999999</v>
      </c>
      <c r="J280" s="377">
        <f t="shared" si="46"/>
        <v>36369</v>
      </c>
      <c r="K280" s="377">
        <f t="shared" si="47"/>
        <v>35840</v>
      </c>
      <c r="L280" s="403" t="s">
        <v>1225</v>
      </c>
      <c r="M280" s="380"/>
      <c r="N280" s="380"/>
    </row>
    <row r="281" spans="1:14" s="373" customFormat="1" ht="25.5" hidden="1" outlineLevel="2" x14ac:dyDescent="0.2">
      <c r="A281" s="208" t="s">
        <v>1169</v>
      </c>
      <c r="B281" s="100" t="s">
        <v>388</v>
      </c>
      <c r="C281" s="100" t="s">
        <v>387</v>
      </c>
      <c r="D281" s="157" t="s">
        <v>305</v>
      </c>
      <c r="E281" s="277">
        <v>20</v>
      </c>
      <c r="F281" s="277">
        <f>(715)*(1.023*1.005-2.3%*15%)*6.99+4467*4.09</f>
        <v>23391</v>
      </c>
      <c r="G281" s="299">
        <f t="shared" si="48"/>
        <v>1.1279999999999999</v>
      </c>
      <c r="H281" s="339">
        <f t="shared" si="44"/>
        <v>26385</v>
      </c>
      <c r="I281" s="299">
        <f>Дефляторы!$D$27</f>
        <v>1.0509999999999999</v>
      </c>
      <c r="J281" s="339">
        <f t="shared" si="46"/>
        <v>27731</v>
      </c>
      <c r="K281" s="339">
        <f t="shared" si="47"/>
        <v>27327</v>
      </c>
      <c r="L281" s="372"/>
      <c r="M281" s="372"/>
      <c r="N281" s="372"/>
    </row>
    <row r="282" spans="1:14" s="373" customFormat="1" ht="15.75" hidden="1" outlineLevel="2" x14ac:dyDescent="0.2">
      <c r="A282" s="208" t="s">
        <v>1170</v>
      </c>
      <c r="B282" s="100" t="s">
        <v>391</v>
      </c>
      <c r="C282" s="100" t="s">
        <v>389</v>
      </c>
      <c r="D282" s="157" t="s">
        <v>305</v>
      </c>
      <c r="E282" s="277">
        <v>4</v>
      </c>
      <c r="F282" s="277">
        <f>(349/2)*(1.023*1.005-2.3%*15%)*6.99+1725*4.09</f>
        <v>8305</v>
      </c>
      <c r="G282" s="299">
        <f t="shared" si="48"/>
        <v>1.1279999999999999</v>
      </c>
      <c r="H282" s="339">
        <f t="shared" si="44"/>
        <v>9368</v>
      </c>
      <c r="I282" s="299">
        <f>Дефляторы!$D$27</f>
        <v>1.0509999999999999</v>
      </c>
      <c r="J282" s="339">
        <f t="shared" si="46"/>
        <v>9846</v>
      </c>
      <c r="K282" s="339">
        <f t="shared" si="47"/>
        <v>9703</v>
      </c>
      <c r="L282" s="372"/>
      <c r="M282" s="372"/>
      <c r="N282" s="372"/>
    </row>
    <row r="283" spans="1:14" s="373" customFormat="1" ht="15.75" hidden="1" outlineLevel="2" x14ac:dyDescent="0.2">
      <c r="A283" s="208" t="s">
        <v>1171</v>
      </c>
      <c r="B283" s="100" t="s">
        <v>392</v>
      </c>
      <c r="C283" s="100" t="s">
        <v>390</v>
      </c>
      <c r="D283" s="157" t="s">
        <v>305</v>
      </c>
      <c r="E283" s="277">
        <v>4</v>
      </c>
      <c r="F283" s="277">
        <f>(349/2)*(1.023*1.005-2.3%*15%)*6.99+1668*4.09</f>
        <v>8072</v>
      </c>
      <c r="G283" s="299">
        <f t="shared" si="48"/>
        <v>1.1279999999999999</v>
      </c>
      <c r="H283" s="339">
        <f t="shared" si="44"/>
        <v>9105</v>
      </c>
      <c r="I283" s="299">
        <f>Дефляторы!$D$27</f>
        <v>1.0509999999999999</v>
      </c>
      <c r="J283" s="339">
        <f t="shared" si="46"/>
        <v>9569</v>
      </c>
      <c r="K283" s="339">
        <f t="shared" si="47"/>
        <v>9430</v>
      </c>
      <c r="L283" s="372"/>
      <c r="M283" s="372"/>
      <c r="N283" s="372"/>
    </row>
    <row r="284" spans="1:14" s="373" customFormat="1" ht="15.75" hidden="1" outlineLevel="2" x14ac:dyDescent="0.2">
      <c r="A284" s="208" t="s">
        <v>1172</v>
      </c>
      <c r="B284" s="100" t="s">
        <v>394</v>
      </c>
      <c r="C284" s="100" t="s">
        <v>393</v>
      </c>
      <c r="D284" s="157" t="s">
        <v>305</v>
      </c>
      <c r="E284" s="277">
        <v>4</v>
      </c>
      <c r="F284" s="277">
        <f>(143)*(1.023*1.005-2.3%*15%)*6.99+3539*4.09</f>
        <v>15499</v>
      </c>
      <c r="G284" s="299">
        <f t="shared" si="48"/>
        <v>1.1279999999999999</v>
      </c>
      <c r="H284" s="339">
        <f t="shared" si="44"/>
        <v>17483</v>
      </c>
      <c r="I284" s="299">
        <f>Дефляторы!$D$27</f>
        <v>1.0509999999999999</v>
      </c>
      <c r="J284" s="339">
        <f t="shared" si="46"/>
        <v>18375</v>
      </c>
      <c r="K284" s="339">
        <f t="shared" si="47"/>
        <v>18107</v>
      </c>
      <c r="L284" s="372"/>
      <c r="M284" s="372"/>
      <c r="N284" s="372"/>
    </row>
    <row r="285" spans="1:14" s="373" customFormat="1" ht="25.5" hidden="1" outlineLevel="2" x14ac:dyDescent="0.2">
      <c r="A285" s="208" t="s">
        <v>1173</v>
      </c>
      <c r="B285" s="100" t="s">
        <v>396</v>
      </c>
      <c r="C285" s="100" t="s">
        <v>395</v>
      </c>
      <c r="D285" s="157" t="s">
        <v>305</v>
      </c>
      <c r="E285" s="277">
        <v>4</v>
      </c>
      <c r="F285" s="277">
        <f>(176)*(1.023*1.005-2.3%*15%)*6.99+1617*4.09</f>
        <v>7874</v>
      </c>
      <c r="G285" s="299">
        <f t="shared" si="48"/>
        <v>1.1279999999999999</v>
      </c>
      <c r="H285" s="339">
        <f t="shared" si="44"/>
        <v>8882</v>
      </c>
      <c r="I285" s="299">
        <f>Дефляторы!$D$27</f>
        <v>1.0509999999999999</v>
      </c>
      <c r="J285" s="339">
        <f t="shared" si="46"/>
        <v>9335</v>
      </c>
      <c r="K285" s="339">
        <f t="shared" si="47"/>
        <v>9199</v>
      </c>
      <c r="L285" s="372"/>
      <c r="M285" s="372"/>
      <c r="N285" s="372"/>
    </row>
    <row r="286" spans="1:14" s="373" customFormat="1" ht="25.5" hidden="1" outlineLevel="2" x14ac:dyDescent="0.2">
      <c r="A286" s="208" t="s">
        <v>1174</v>
      </c>
      <c r="B286" s="100" t="s">
        <v>398</v>
      </c>
      <c r="C286" s="100" t="s">
        <v>397</v>
      </c>
      <c r="D286" s="157" t="s">
        <v>305</v>
      </c>
      <c r="E286" s="277">
        <v>4</v>
      </c>
      <c r="F286" s="277">
        <f>(170)*(1.023*1.005-2.3%*15%)*6.99+0*4.09</f>
        <v>1218</v>
      </c>
      <c r="G286" s="299">
        <f t="shared" si="48"/>
        <v>1.1279999999999999</v>
      </c>
      <c r="H286" s="339">
        <f t="shared" si="44"/>
        <v>1374</v>
      </c>
      <c r="I286" s="299">
        <f>Дефляторы!$D$27</f>
        <v>1.0509999999999999</v>
      </c>
      <c r="J286" s="339">
        <f t="shared" si="46"/>
        <v>1444</v>
      </c>
      <c r="K286" s="339">
        <f t="shared" si="47"/>
        <v>1423</v>
      </c>
      <c r="L286" s="372" t="s">
        <v>403</v>
      </c>
      <c r="M286" s="372"/>
      <c r="N286" s="372"/>
    </row>
    <row r="287" spans="1:14" s="373" customFormat="1" ht="15.75" hidden="1" outlineLevel="2" x14ac:dyDescent="0.2">
      <c r="A287" s="208" t="s">
        <v>1175</v>
      </c>
      <c r="B287" s="100" t="s">
        <v>400</v>
      </c>
      <c r="C287" s="100" t="s">
        <v>399</v>
      </c>
      <c r="D287" s="157" t="s">
        <v>305</v>
      </c>
      <c r="E287" s="277">
        <v>4</v>
      </c>
      <c r="F287" s="277">
        <f>(143)*(1.023*1.005-2.3%*15%)*6.99+3921*4.09</f>
        <v>17061</v>
      </c>
      <c r="G287" s="299">
        <f t="shared" si="48"/>
        <v>1.1279999999999999</v>
      </c>
      <c r="H287" s="339">
        <f t="shared" si="44"/>
        <v>19245</v>
      </c>
      <c r="I287" s="299">
        <f>Дефляторы!$D$27</f>
        <v>1.0509999999999999</v>
      </c>
      <c r="J287" s="339">
        <f t="shared" si="46"/>
        <v>20226</v>
      </c>
      <c r="K287" s="339">
        <f t="shared" si="47"/>
        <v>19932</v>
      </c>
      <c r="L287" s="372"/>
      <c r="M287" s="372"/>
      <c r="N287" s="372"/>
    </row>
    <row r="288" spans="1:14" s="373" customFormat="1" ht="15.75" hidden="1" outlineLevel="2" x14ac:dyDescent="0.2">
      <c r="A288" s="208" t="s">
        <v>1176</v>
      </c>
      <c r="B288" s="100" t="s">
        <v>402</v>
      </c>
      <c r="C288" s="100" t="s">
        <v>401</v>
      </c>
      <c r="D288" s="157" t="s">
        <v>363</v>
      </c>
      <c r="E288" s="277">
        <v>550</v>
      </c>
      <c r="F288" s="277">
        <f>(10182+7433)*(1.023*1.005-2.3%*15%)*6.99+0*4.09</f>
        <v>126166</v>
      </c>
      <c r="G288" s="299">
        <f t="shared" si="48"/>
        <v>1.1279999999999999</v>
      </c>
      <c r="H288" s="339">
        <f t="shared" si="44"/>
        <v>142315</v>
      </c>
      <c r="I288" s="299">
        <f>Дефляторы!$D$27</f>
        <v>1.0509999999999999</v>
      </c>
      <c r="J288" s="339">
        <f t="shared" si="46"/>
        <v>149573</v>
      </c>
      <c r="K288" s="339">
        <f t="shared" si="47"/>
        <v>147396</v>
      </c>
      <c r="L288" s="372"/>
      <c r="M288" s="372"/>
      <c r="N288" s="372"/>
    </row>
    <row r="289" spans="1:14" s="373" customFormat="1" ht="25.5" hidden="1" outlineLevel="2" x14ac:dyDescent="0.2">
      <c r="A289" s="208" t="s">
        <v>1177</v>
      </c>
      <c r="B289" s="100" t="s">
        <v>405</v>
      </c>
      <c r="C289" s="100" t="s">
        <v>404</v>
      </c>
      <c r="D289" s="157" t="s">
        <v>363</v>
      </c>
      <c r="E289" s="277">
        <v>200</v>
      </c>
      <c r="F289" s="277">
        <f>(3477+3958)*(1.023*1.005-2.3%*15%)*6.99+0*4.09</f>
        <v>53253</v>
      </c>
      <c r="G289" s="299">
        <f t="shared" si="48"/>
        <v>1.1279999999999999</v>
      </c>
      <c r="H289" s="339">
        <f t="shared" si="44"/>
        <v>60069</v>
      </c>
      <c r="I289" s="299">
        <f>Дефляторы!$D$27</f>
        <v>1.0509999999999999</v>
      </c>
      <c r="J289" s="339">
        <f t="shared" si="46"/>
        <v>63133</v>
      </c>
      <c r="K289" s="339">
        <f t="shared" si="47"/>
        <v>62214</v>
      </c>
      <c r="L289" s="372"/>
      <c r="M289" s="372"/>
      <c r="N289" s="372"/>
    </row>
    <row r="290" spans="1:14" s="373" customFormat="1" ht="15.75" hidden="1" outlineLevel="2" x14ac:dyDescent="0.2">
      <c r="A290" s="208" t="s">
        <v>1178</v>
      </c>
      <c r="B290" s="100" t="s">
        <v>407</v>
      </c>
      <c r="C290" s="100" t="s">
        <v>406</v>
      </c>
      <c r="D290" s="157" t="s">
        <v>305</v>
      </c>
      <c r="E290" s="277">
        <v>50</v>
      </c>
      <c r="F290" s="277">
        <f>(403+785)*(1.023*1.005-2.3%*15%)*6.99+0*4.09</f>
        <v>8509</v>
      </c>
      <c r="G290" s="299">
        <f t="shared" si="48"/>
        <v>1.1279999999999999</v>
      </c>
      <c r="H290" s="339">
        <f t="shared" si="44"/>
        <v>9598</v>
      </c>
      <c r="I290" s="299">
        <f>Дефляторы!$D$27</f>
        <v>1.0509999999999999</v>
      </c>
      <c r="J290" s="339">
        <f t="shared" si="46"/>
        <v>10087</v>
      </c>
      <c r="K290" s="339">
        <f t="shared" si="47"/>
        <v>9940</v>
      </c>
      <c r="L290" s="372"/>
      <c r="M290" s="372"/>
      <c r="N290" s="372"/>
    </row>
    <row r="291" spans="1:14" s="373" customFormat="1" ht="25.5" hidden="1" outlineLevel="2" x14ac:dyDescent="0.2">
      <c r="A291" s="208" t="s">
        <v>1179</v>
      </c>
      <c r="B291" s="100" t="s">
        <v>410</v>
      </c>
      <c r="C291" s="100" t="s">
        <v>409</v>
      </c>
      <c r="D291" s="157" t="s">
        <v>363</v>
      </c>
      <c r="E291" s="277">
        <v>520</v>
      </c>
      <c r="F291" s="277">
        <f>(520/1450*7134+5814)*(1.023*1.005-2.3%*15%)*6.99+0*4.09</f>
        <v>59967</v>
      </c>
      <c r="G291" s="299">
        <f t="shared" si="48"/>
        <v>1.1279999999999999</v>
      </c>
      <c r="H291" s="339">
        <f t="shared" si="44"/>
        <v>67643</v>
      </c>
      <c r="I291" s="299">
        <f>Дефляторы!$D$27</f>
        <v>1.0509999999999999</v>
      </c>
      <c r="J291" s="339">
        <f t="shared" si="46"/>
        <v>71093</v>
      </c>
      <c r="K291" s="339">
        <f t="shared" si="47"/>
        <v>70058</v>
      </c>
      <c r="L291" s="372"/>
      <c r="M291" s="372"/>
      <c r="N291" s="372"/>
    </row>
    <row r="292" spans="1:14" s="373" customFormat="1" ht="15.75" hidden="1" outlineLevel="2" x14ac:dyDescent="0.2">
      <c r="A292" s="208" t="s">
        <v>1180</v>
      </c>
      <c r="B292" s="100" t="s">
        <v>412</v>
      </c>
      <c r="C292" s="100" t="s">
        <v>411</v>
      </c>
      <c r="D292" s="157" t="s">
        <v>363</v>
      </c>
      <c r="E292" s="277">
        <v>520</v>
      </c>
      <c r="F292" s="277">
        <f>(520/1450*7134+1925)*(1.023*1.005-2.3%*15%)*6.99+0*4.09</f>
        <v>32112</v>
      </c>
      <c r="G292" s="299">
        <f t="shared" si="48"/>
        <v>1.1279999999999999</v>
      </c>
      <c r="H292" s="339">
        <f t="shared" si="44"/>
        <v>36222</v>
      </c>
      <c r="I292" s="299">
        <f>Дефляторы!$D$27</f>
        <v>1.0509999999999999</v>
      </c>
      <c r="J292" s="339">
        <f t="shared" si="46"/>
        <v>38069</v>
      </c>
      <c r="K292" s="339">
        <f t="shared" si="47"/>
        <v>37515</v>
      </c>
      <c r="L292" s="372"/>
      <c r="M292" s="372"/>
      <c r="N292" s="372"/>
    </row>
    <row r="293" spans="1:14" s="373" customFormat="1" ht="15.75" hidden="1" outlineLevel="2" x14ac:dyDescent="0.2">
      <c r="A293" s="208" t="s">
        <v>1181</v>
      </c>
      <c r="B293" s="100" t="s">
        <v>414</v>
      </c>
      <c r="C293" s="100" t="s">
        <v>413</v>
      </c>
      <c r="D293" s="157" t="s">
        <v>363</v>
      </c>
      <c r="E293" s="277">
        <v>10</v>
      </c>
      <c r="F293" s="277">
        <f>(10/1450*7134+113)*(1.023*1.005-2.3%*15%)*6.99+0*4.09</f>
        <v>1162</v>
      </c>
      <c r="G293" s="299">
        <f t="shared" si="48"/>
        <v>1.1279999999999999</v>
      </c>
      <c r="H293" s="339">
        <f t="shared" si="44"/>
        <v>1311</v>
      </c>
      <c r="I293" s="299">
        <f>Дефляторы!$D$27</f>
        <v>1.0509999999999999</v>
      </c>
      <c r="J293" s="339">
        <f t="shared" si="46"/>
        <v>1378</v>
      </c>
      <c r="K293" s="339">
        <f t="shared" si="47"/>
        <v>1358</v>
      </c>
      <c r="L293" s="372"/>
      <c r="M293" s="372"/>
      <c r="N293" s="372"/>
    </row>
    <row r="294" spans="1:14" s="373" customFormat="1" ht="15.75" hidden="1" outlineLevel="2" x14ac:dyDescent="0.2">
      <c r="A294" s="208" t="s">
        <v>1182</v>
      </c>
      <c r="B294" s="100" t="s">
        <v>416</v>
      </c>
      <c r="C294" s="100" t="s">
        <v>415</v>
      </c>
      <c r="D294" s="157" t="s">
        <v>363</v>
      </c>
      <c r="E294" s="277">
        <v>400</v>
      </c>
      <c r="F294" s="277">
        <f>(400/1450*7134+5561)*(1.023*1.005-2.3%*15%)*6.99+0*4.09</f>
        <v>53926</v>
      </c>
      <c r="G294" s="299">
        <f t="shared" si="48"/>
        <v>1.1279999999999999</v>
      </c>
      <c r="H294" s="339">
        <f t="shared" si="44"/>
        <v>60829</v>
      </c>
      <c r="I294" s="299">
        <f>Дефляторы!$D$27</f>
        <v>1.0509999999999999</v>
      </c>
      <c r="J294" s="339">
        <f t="shared" si="46"/>
        <v>63931</v>
      </c>
      <c r="K294" s="339">
        <f t="shared" si="47"/>
        <v>63000</v>
      </c>
      <c r="L294" s="372"/>
      <c r="M294" s="372"/>
      <c r="N294" s="372"/>
    </row>
    <row r="295" spans="1:14" s="362" customFormat="1" ht="15.75" outlineLevel="1" collapsed="1" x14ac:dyDescent="0.2">
      <c r="A295" s="282" t="s">
        <v>946</v>
      </c>
      <c r="B295" s="283"/>
      <c r="C295" s="283" t="s">
        <v>987</v>
      </c>
      <c r="D295" s="359" t="s">
        <v>250</v>
      </c>
      <c r="E295" s="154">
        <v>1</v>
      </c>
      <c r="F295" s="154">
        <f>SUM(F296:F297)</f>
        <v>492952</v>
      </c>
      <c r="G295" s="296">
        <f t="shared" si="48"/>
        <v>1.1279999999999999</v>
      </c>
      <c r="H295" s="337">
        <f>SUM(H296:H297)</f>
        <v>556050</v>
      </c>
      <c r="I295" s="296">
        <f>Дефляторы!$D$27</f>
        <v>1.0509999999999999</v>
      </c>
      <c r="J295" s="337">
        <f>SUM(J296:J297)</f>
        <v>584408</v>
      </c>
      <c r="K295" s="337">
        <f>SUM(K296:K297)</f>
        <v>575901</v>
      </c>
      <c r="L295" s="360"/>
      <c r="M295" s="360"/>
      <c r="N295" s="360"/>
    </row>
    <row r="296" spans="1:14" s="373" customFormat="1" ht="60.75" hidden="1" customHeight="1" outlineLevel="2" x14ac:dyDescent="0.2">
      <c r="A296" s="208" t="s">
        <v>1183</v>
      </c>
      <c r="B296" s="100" t="s">
        <v>307</v>
      </c>
      <c r="C296" s="100" t="s">
        <v>715</v>
      </c>
      <c r="D296" s="157" t="s">
        <v>305</v>
      </c>
      <c r="E296" s="277">
        <v>34</v>
      </c>
      <c r="F296" s="277">
        <f>(34/35*68825)*(1.023*1.005-2.3%*15%)*6.99+0*4.09</f>
        <v>478868</v>
      </c>
      <c r="G296" s="299">
        <f t="shared" si="48"/>
        <v>1.1279999999999999</v>
      </c>
      <c r="H296" s="339">
        <f t="shared" si="44"/>
        <v>540163</v>
      </c>
      <c r="I296" s="299">
        <f>Дефляторы!$D$27</f>
        <v>1.0509999999999999</v>
      </c>
      <c r="J296" s="339">
        <f t="shared" si="46"/>
        <v>567711</v>
      </c>
      <c r="K296" s="339">
        <f t="shared" si="47"/>
        <v>559447</v>
      </c>
      <c r="L296" s="619" t="s">
        <v>1333</v>
      </c>
      <c r="M296" s="382">
        <f>203.7</f>
        <v>203.7</v>
      </c>
      <c r="N296" s="372">
        <f>E296*M296</f>
        <v>6925.8</v>
      </c>
    </row>
    <row r="297" spans="1:14" s="373" customFormat="1" ht="54" hidden="1" customHeight="1" outlineLevel="2" x14ac:dyDescent="0.2">
      <c r="A297" s="208" t="s">
        <v>1184</v>
      </c>
      <c r="B297" s="100" t="s">
        <v>307</v>
      </c>
      <c r="C297" s="100" t="s">
        <v>306</v>
      </c>
      <c r="D297" s="157" t="s">
        <v>305</v>
      </c>
      <c r="E297" s="277">
        <v>1</v>
      </c>
      <c r="F297" s="277">
        <f>(1/35*68825)*(1.023*1.005-2.3%*15%)*6.99+0*4.09</f>
        <v>14084</v>
      </c>
      <c r="G297" s="299">
        <f t="shared" si="48"/>
        <v>1.1279999999999999</v>
      </c>
      <c r="H297" s="339">
        <f t="shared" si="44"/>
        <v>15887</v>
      </c>
      <c r="I297" s="299">
        <f>Дефляторы!$D$27</f>
        <v>1.0509999999999999</v>
      </c>
      <c r="J297" s="339">
        <f t="shared" si="46"/>
        <v>16697</v>
      </c>
      <c r="K297" s="339">
        <f t="shared" si="47"/>
        <v>16454</v>
      </c>
      <c r="L297" s="620"/>
      <c r="M297" s="382">
        <f>225.3</f>
        <v>225.3</v>
      </c>
      <c r="N297" s="372">
        <f>E297*M297</f>
        <v>225.3</v>
      </c>
    </row>
    <row r="298" spans="1:14" s="362" customFormat="1" ht="69" customHeight="1" outlineLevel="1" collapsed="1" x14ac:dyDescent="0.2">
      <c r="A298" s="282" t="s">
        <v>947</v>
      </c>
      <c r="B298" s="283" t="s">
        <v>51</v>
      </c>
      <c r="C298" s="283" t="s">
        <v>52</v>
      </c>
      <c r="D298" s="359" t="s">
        <v>250</v>
      </c>
      <c r="E298" s="154">
        <v>1</v>
      </c>
      <c r="F298" s="154">
        <f>'Затраты подрядчика'!L80</f>
        <v>258744</v>
      </c>
      <c r="G298" s="296">
        <f t="shared" si="48"/>
        <v>1.1279999999999999</v>
      </c>
      <c r="H298" s="337">
        <f t="shared" si="44"/>
        <v>291863</v>
      </c>
      <c r="I298" s="296">
        <f>Дефляторы!$D$27</f>
        <v>1.0509999999999999</v>
      </c>
      <c r="J298" s="337">
        <f t="shared" si="46"/>
        <v>306748</v>
      </c>
      <c r="K298" s="337">
        <f t="shared" si="47"/>
        <v>302283</v>
      </c>
      <c r="L298" s="360"/>
      <c r="M298" s="360"/>
      <c r="N298" s="360"/>
    </row>
    <row r="299" spans="1:14" s="362" customFormat="1" ht="89.25" outlineLevel="1" x14ac:dyDescent="0.2">
      <c r="A299" s="282" t="s">
        <v>948</v>
      </c>
      <c r="B299" s="283" t="s">
        <v>106</v>
      </c>
      <c r="C299" s="283" t="s">
        <v>709</v>
      </c>
      <c r="D299" s="359" t="s">
        <v>271</v>
      </c>
      <c r="E299" s="154">
        <f>(2060+245+175)*3</f>
        <v>7440</v>
      </c>
      <c r="F299" s="154">
        <f>19090*6.99</f>
        <v>133439</v>
      </c>
      <c r="G299" s="296">
        <f t="shared" si="48"/>
        <v>1.1279999999999999</v>
      </c>
      <c r="H299" s="337">
        <f t="shared" si="44"/>
        <v>150519</v>
      </c>
      <c r="I299" s="296">
        <f>Дефляторы!$D$27</f>
        <v>1.0509999999999999</v>
      </c>
      <c r="J299" s="337">
        <f t="shared" si="46"/>
        <v>158195</v>
      </c>
      <c r="K299" s="337">
        <f t="shared" si="47"/>
        <v>155892</v>
      </c>
      <c r="L299" s="404" t="s">
        <v>710</v>
      </c>
      <c r="M299" s="360"/>
      <c r="N299" s="360"/>
    </row>
    <row r="300" spans="1:14" s="362" customFormat="1" ht="15.75" outlineLevel="1" x14ac:dyDescent="0.2">
      <c r="A300" s="282" t="s">
        <v>949</v>
      </c>
      <c r="B300" s="283" t="s">
        <v>53</v>
      </c>
      <c r="C300" s="283" t="s">
        <v>1392</v>
      </c>
      <c r="D300" s="359" t="s">
        <v>250</v>
      </c>
      <c r="E300" s="154">
        <v>1</v>
      </c>
      <c r="F300" s="154">
        <f>'Затраты подрядчика'!L82</f>
        <v>485874</v>
      </c>
      <c r="G300" s="296">
        <f t="shared" si="48"/>
        <v>1.1279999999999999</v>
      </c>
      <c r="H300" s="337">
        <f t="shared" si="44"/>
        <v>548066</v>
      </c>
      <c r="I300" s="296">
        <f>Дефляторы!$D$27</f>
        <v>1.0509999999999999</v>
      </c>
      <c r="J300" s="337">
        <f t="shared" si="46"/>
        <v>576017</v>
      </c>
      <c r="K300" s="337">
        <f t="shared" si="47"/>
        <v>567632</v>
      </c>
      <c r="L300" s="360"/>
      <c r="M300" s="360"/>
      <c r="N300" s="360"/>
    </row>
    <row r="301" spans="1:14" s="362" customFormat="1" ht="15.75" outlineLevel="1" x14ac:dyDescent="0.2">
      <c r="A301" s="282" t="s">
        <v>952</v>
      </c>
      <c r="B301" s="283" t="s">
        <v>110</v>
      </c>
      <c r="C301" s="283" t="s">
        <v>1391</v>
      </c>
      <c r="D301" s="359" t="s">
        <v>250</v>
      </c>
      <c r="E301" s="154">
        <v>1</v>
      </c>
      <c r="F301" s="154">
        <f>F302+F303</f>
        <v>5841280</v>
      </c>
      <c r="G301" s="296"/>
      <c r="H301" s="337">
        <f>H302+H303</f>
        <v>5874573</v>
      </c>
      <c r="I301" s="296"/>
      <c r="J301" s="337">
        <f>J302+J303</f>
        <v>5889536</v>
      </c>
      <c r="K301" s="337">
        <f>K302+K303</f>
        <v>5885047</v>
      </c>
      <c r="L301" s="360"/>
      <c r="M301" s="360"/>
      <c r="N301" s="360"/>
    </row>
    <row r="302" spans="1:14" s="373" customFormat="1" ht="15.75" hidden="1" outlineLevel="2" x14ac:dyDescent="0.2">
      <c r="A302" s="356" t="s">
        <v>1321</v>
      </c>
      <c r="B302" s="100" t="s">
        <v>1315</v>
      </c>
      <c r="C302" s="100" t="s">
        <v>1317</v>
      </c>
      <c r="D302" s="157" t="s">
        <v>250</v>
      </c>
      <c r="E302" s="277">
        <v>1</v>
      </c>
      <c r="F302" s="277">
        <f>(11365+13093)*10.79*'Затраты подрядчика'!R83</f>
        <v>260102</v>
      </c>
      <c r="G302" s="299">
        <f>$G$335</f>
        <v>1.1279999999999999</v>
      </c>
      <c r="H302" s="339">
        <f t="shared" si="44"/>
        <v>293395</v>
      </c>
      <c r="I302" s="299">
        <f>Дефляторы!$D$27</f>
        <v>1.0509999999999999</v>
      </c>
      <c r="J302" s="339">
        <f t="shared" si="46"/>
        <v>308358</v>
      </c>
      <c r="K302" s="339">
        <f t="shared" si="47"/>
        <v>303869</v>
      </c>
      <c r="L302" s="372"/>
      <c r="M302" s="372"/>
      <c r="N302" s="372"/>
    </row>
    <row r="303" spans="1:14" s="373" customFormat="1" ht="15.75" hidden="1" outlineLevel="2" x14ac:dyDescent="0.2">
      <c r="A303" s="356" t="s">
        <v>1322</v>
      </c>
      <c r="B303" s="100" t="s">
        <v>1316</v>
      </c>
      <c r="C303" s="100" t="s">
        <v>1318</v>
      </c>
      <c r="D303" s="157" t="s">
        <v>250</v>
      </c>
      <c r="E303" s="277">
        <v>1</v>
      </c>
      <c r="F303" s="277">
        <f>(444051+80760)*10.79*'Затраты подрядчика'!R83+10</f>
        <v>5581178</v>
      </c>
      <c r="G303" s="299">
        <v>1</v>
      </c>
      <c r="H303" s="339">
        <f t="shared" ref="H303" si="49">F303*G303</f>
        <v>5581178</v>
      </c>
      <c r="I303" s="299">
        <v>1</v>
      </c>
      <c r="J303" s="339">
        <f t="shared" ref="J303" si="50">H303*I303</f>
        <v>5581178</v>
      </c>
      <c r="K303" s="339">
        <f t="shared" ref="K303" si="51">H303+(J303-H303)*(1-30/100)</f>
        <v>5581178</v>
      </c>
      <c r="L303" s="372"/>
      <c r="M303" s="372"/>
      <c r="N303" s="372"/>
    </row>
    <row r="304" spans="1:14" s="362" customFormat="1" ht="15.75" outlineLevel="1" collapsed="1" x14ac:dyDescent="0.2">
      <c r="A304" s="282" t="s">
        <v>1192</v>
      </c>
      <c r="B304" s="283" t="s">
        <v>55</v>
      </c>
      <c r="C304" s="283" t="s">
        <v>1390</v>
      </c>
      <c r="D304" s="359" t="s">
        <v>250</v>
      </c>
      <c r="E304" s="154">
        <v>1</v>
      </c>
      <c r="F304" s="154">
        <f>'Затраты подрядчика'!L84</f>
        <v>141147</v>
      </c>
      <c r="G304" s="296">
        <f>$G$335</f>
        <v>1.1279999999999999</v>
      </c>
      <c r="H304" s="337">
        <f t="shared" si="44"/>
        <v>159214</v>
      </c>
      <c r="I304" s="296">
        <f>Дефляторы!$D$27</f>
        <v>1.0509999999999999</v>
      </c>
      <c r="J304" s="337">
        <f t="shared" si="46"/>
        <v>167334</v>
      </c>
      <c r="K304" s="337">
        <f t="shared" si="47"/>
        <v>164898</v>
      </c>
      <c r="L304" s="360"/>
      <c r="M304" s="360"/>
      <c r="N304" s="360"/>
    </row>
    <row r="305" spans="1:14" s="362" customFormat="1" ht="15.75" outlineLevel="1" x14ac:dyDescent="0.2">
      <c r="A305" s="282" t="s">
        <v>1193</v>
      </c>
      <c r="B305" s="283" t="s">
        <v>57</v>
      </c>
      <c r="C305" s="283" t="s">
        <v>1389</v>
      </c>
      <c r="D305" s="405" t="s">
        <v>250</v>
      </c>
      <c r="E305" s="154">
        <v>1</v>
      </c>
      <c r="F305" s="154">
        <f>F306+F307</f>
        <v>8796326</v>
      </c>
      <c r="G305" s="296">
        <f>$G$335</f>
        <v>1.1279999999999999</v>
      </c>
      <c r="H305" s="154">
        <f>H306+H307</f>
        <v>9922256</v>
      </c>
      <c r="I305" s="296">
        <f>Дефляторы!$D$27</f>
        <v>1.0509999999999999</v>
      </c>
      <c r="J305" s="154">
        <f>J306+J307</f>
        <v>10428291</v>
      </c>
      <c r="K305" s="154">
        <f>K306+K307</f>
        <v>10276480</v>
      </c>
      <c r="L305" s="360"/>
      <c r="M305" s="360"/>
      <c r="N305" s="360"/>
    </row>
    <row r="306" spans="1:14" s="373" customFormat="1" ht="15.75" hidden="1" outlineLevel="2" x14ac:dyDescent="0.2">
      <c r="A306" s="208" t="s">
        <v>1195</v>
      </c>
      <c r="B306" s="100" t="s">
        <v>211</v>
      </c>
      <c r="C306" s="406" t="s">
        <v>209</v>
      </c>
      <c r="D306" s="383" t="s">
        <v>250</v>
      </c>
      <c r="E306" s="277">
        <v>1</v>
      </c>
      <c r="F306" s="277">
        <f>'Затраты подрядчика'!L93</f>
        <v>8192913</v>
      </c>
      <c r="G306" s="299">
        <f>$G$335</f>
        <v>1.1279999999999999</v>
      </c>
      <c r="H306" s="339">
        <f t="shared" ref="H306:H325" si="52">F306*G306</f>
        <v>9241606</v>
      </c>
      <c r="I306" s="299">
        <f>Дефляторы!$D$27</f>
        <v>1.0509999999999999</v>
      </c>
      <c r="J306" s="339">
        <f t="shared" si="46"/>
        <v>9712928</v>
      </c>
      <c r="K306" s="339">
        <f t="shared" si="47"/>
        <v>9571531</v>
      </c>
      <c r="L306" s="372"/>
      <c r="M306" s="372"/>
      <c r="N306" s="372"/>
    </row>
    <row r="307" spans="1:14" s="373" customFormat="1" ht="15.75" hidden="1" outlineLevel="2" x14ac:dyDescent="0.2">
      <c r="A307" s="208" t="s">
        <v>1196</v>
      </c>
      <c r="B307" s="100" t="s">
        <v>212</v>
      </c>
      <c r="C307" s="406" t="s">
        <v>210</v>
      </c>
      <c r="D307" s="383" t="s">
        <v>250</v>
      </c>
      <c r="E307" s="277">
        <v>1</v>
      </c>
      <c r="F307" s="277">
        <f>'Затраты подрядчика'!L94</f>
        <v>603413</v>
      </c>
      <c r="G307" s="299">
        <f>$G$335</f>
        <v>1.1279999999999999</v>
      </c>
      <c r="H307" s="339">
        <f t="shared" si="52"/>
        <v>680650</v>
      </c>
      <c r="I307" s="299">
        <f>Дефляторы!$D$27</f>
        <v>1.0509999999999999</v>
      </c>
      <c r="J307" s="339">
        <f t="shared" si="46"/>
        <v>715363</v>
      </c>
      <c r="K307" s="339">
        <f t="shared" si="47"/>
        <v>704949</v>
      </c>
      <c r="L307" s="372"/>
      <c r="M307" s="372"/>
      <c r="N307" s="372"/>
    </row>
    <row r="308" spans="1:14" s="362" customFormat="1" ht="15.75" hidden="1" outlineLevel="1" collapsed="1" x14ac:dyDescent="0.2">
      <c r="A308" s="282" t="s">
        <v>1197</v>
      </c>
      <c r="B308" s="283" t="s">
        <v>1237</v>
      </c>
      <c r="C308" s="407" t="s">
        <v>1385</v>
      </c>
      <c r="D308" s="405" t="s">
        <v>250</v>
      </c>
      <c r="E308" s="154">
        <v>1</v>
      </c>
      <c r="F308" s="154">
        <f>248400000*0/1.2</f>
        <v>0</v>
      </c>
      <c r="G308" s="296">
        <v>1</v>
      </c>
      <c r="H308" s="337">
        <f t="shared" si="52"/>
        <v>0</v>
      </c>
      <c r="I308" s="296">
        <v>1</v>
      </c>
      <c r="J308" s="337">
        <f t="shared" si="46"/>
        <v>0</v>
      </c>
      <c r="K308" s="337">
        <f t="shared" si="47"/>
        <v>0</v>
      </c>
      <c r="L308" s="360"/>
      <c r="M308" s="360"/>
      <c r="N308" s="360"/>
    </row>
    <row r="309" spans="1:14" s="362" customFormat="1" ht="15.75" hidden="1" outlineLevel="1" x14ac:dyDescent="0.2">
      <c r="A309" s="282" t="s">
        <v>1197</v>
      </c>
      <c r="B309" s="283" t="s">
        <v>1237</v>
      </c>
      <c r="C309" s="407" t="s">
        <v>1236</v>
      </c>
      <c r="D309" s="405" t="s">
        <v>250</v>
      </c>
      <c r="E309" s="154">
        <v>1</v>
      </c>
      <c r="F309" s="154">
        <f>'Расчет стоимости шеф-монтажа'!D6*0</f>
        <v>0</v>
      </c>
      <c r="G309" s="296">
        <v>1</v>
      </c>
      <c r="H309" s="337">
        <f t="shared" si="52"/>
        <v>0</v>
      </c>
      <c r="I309" s="296">
        <v>1</v>
      </c>
      <c r="J309" s="337">
        <f t="shared" si="46"/>
        <v>0</v>
      </c>
      <c r="K309" s="337">
        <f t="shared" si="47"/>
        <v>0</v>
      </c>
      <c r="L309" s="360"/>
      <c r="M309" s="360"/>
      <c r="N309" s="360"/>
    </row>
    <row r="310" spans="1:14" s="362" customFormat="1" ht="15.75" outlineLevel="1" x14ac:dyDescent="0.2">
      <c r="A310" s="282" t="s">
        <v>1197</v>
      </c>
      <c r="B310" s="283"/>
      <c r="C310" s="283" t="s">
        <v>1209</v>
      </c>
      <c r="D310" s="405" t="s">
        <v>250</v>
      </c>
      <c r="E310" s="154">
        <v>1</v>
      </c>
      <c r="F310" s="154">
        <f>'Затраты подрядчика'!M109-НМЦК!F14-НМЦК!F325-F328</f>
        <v>1926963</v>
      </c>
      <c r="G310" s="296">
        <f>$G$335</f>
        <v>1.1279999999999999</v>
      </c>
      <c r="H310" s="337">
        <f t="shared" si="52"/>
        <v>2173614</v>
      </c>
      <c r="I310" s="296">
        <f>Дефляторы!$D$27</f>
        <v>1.0509999999999999</v>
      </c>
      <c r="J310" s="337">
        <f t="shared" si="46"/>
        <v>2284468</v>
      </c>
      <c r="K310" s="337">
        <f t="shared" si="47"/>
        <v>2251212</v>
      </c>
      <c r="L310" s="360"/>
      <c r="M310" s="360"/>
      <c r="N310" s="360"/>
    </row>
    <row r="311" spans="1:14" s="411" customFormat="1" ht="54" customHeight="1" x14ac:dyDescent="0.2">
      <c r="A311" s="402" t="s">
        <v>295</v>
      </c>
      <c r="B311" s="281"/>
      <c r="C311" s="412" t="s">
        <v>296</v>
      </c>
      <c r="D311" s="297" t="s">
        <v>250</v>
      </c>
      <c r="E311" s="364">
        <v>1</v>
      </c>
      <c r="F311" s="364">
        <f>F312+F316+F322+F325</f>
        <v>703920</v>
      </c>
      <c r="G311" s="365"/>
      <c r="H311" s="364">
        <f>H312+H316+H322+H325</f>
        <v>783585</v>
      </c>
      <c r="I311" s="365"/>
      <c r="J311" s="364">
        <f>J312+J316+J322+J325</f>
        <v>838345</v>
      </c>
      <c r="K311" s="364">
        <f>K312+K316+K322+K325</f>
        <v>821917</v>
      </c>
      <c r="L311" s="408"/>
      <c r="M311" s="409"/>
      <c r="N311" s="410"/>
    </row>
    <row r="312" spans="1:14" s="362" customFormat="1" ht="15.75" outlineLevel="1" x14ac:dyDescent="0.2">
      <c r="A312" s="363" t="s">
        <v>297</v>
      </c>
      <c r="B312" s="363"/>
      <c r="C312" s="358" t="s">
        <v>989</v>
      </c>
      <c r="D312" s="359" t="s">
        <v>250</v>
      </c>
      <c r="E312" s="154">
        <v>1</v>
      </c>
      <c r="F312" s="154">
        <f>SUM(F313:F315)</f>
        <v>92330</v>
      </c>
      <c r="G312" s="296">
        <f t="shared" ref="G312:G321" si="53">$G$335</f>
        <v>1.1279999999999999</v>
      </c>
      <c r="H312" s="154">
        <f>SUM(H313:H315)</f>
        <v>104149</v>
      </c>
      <c r="I312" s="296">
        <f>Дефляторы!$D$244</f>
        <v>1.0780000000000001</v>
      </c>
      <c r="J312" s="154">
        <f>SUM(J313:J315)</f>
        <v>112273</v>
      </c>
      <c r="K312" s="154">
        <f>SUM(K313:K315)</f>
        <v>109836</v>
      </c>
      <c r="L312" s="360"/>
      <c r="M312" s="360"/>
      <c r="N312" s="360"/>
    </row>
    <row r="313" spans="1:14" s="373" customFormat="1" ht="25.5" hidden="1" outlineLevel="2" x14ac:dyDescent="0.2">
      <c r="A313" s="208" t="s">
        <v>953</v>
      </c>
      <c r="B313" s="100" t="s">
        <v>191</v>
      </c>
      <c r="C313" s="100" t="s">
        <v>192</v>
      </c>
      <c r="D313" s="157" t="s">
        <v>250</v>
      </c>
      <c r="E313" s="277">
        <v>1</v>
      </c>
      <c r="F313" s="277">
        <f>'Затраты подрядчика'!L86</f>
        <v>11248</v>
      </c>
      <c r="G313" s="299">
        <f t="shared" si="53"/>
        <v>1.1279999999999999</v>
      </c>
      <c r="H313" s="339">
        <f t="shared" si="52"/>
        <v>12688</v>
      </c>
      <c r="I313" s="299">
        <f>Дефляторы!$D$244</f>
        <v>1.0780000000000001</v>
      </c>
      <c r="J313" s="339">
        <f t="shared" ref="J313:J315" si="54">H313*I313</f>
        <v>13678</v>
      </c>
      <c r="K313" s="339">
        <f t="shared" ref="K313:K315" si="55">H313+(J313-H313)*(1-30/100)</f>
        <v>13381</v>
      </c>
      <c r="L313" s="372"/>
      <c r="M313" s="372"/>
      <c r="N313" s="372"/>
    </row>
    <row r="314" spans="1:14" s="373" customFormat="1" ht="25.5" hidden="1" outlineLevel="2" x14ac:dyDescent="0.2">
      <c r="A314" s="208" t="s">
        <v>954</v>
      </c>
      <c r="B314" s="100" t="s">
        <v>193</v>
      </c>
      <c r="C314" s="100" t="s">
        <v>194</v>
      </c>
      <c r="D314" s="157" t="s">
        <v>250</v>
      </c>
      <c r="E314" s="277">
        <v>1</v>
      </c>
      <c r="F314" s="277">
        <f>'Затраты подрядчика'!L87</f>
        <v>7046</v>
      </c>
      <c r="G314" s="299">
        <f t="shared" si="53"/>
        <v>1.1279999999999999</v>
      </c>
      <c r="H314" s="339">
        <f t="shared" si="52"/>
        <v>7948</v>
      </c>
      <c r="I314" s="299">
        <f>Дефляторы!$D$244</f>
        <v>1.0780000000000001</v>
      </c>
      <c r="J314" s="339">
        <f t="shared" si="54"/>
        <v>8568</v>
      </c>
      <c r="K314" s="339">
        <f t="shared" si="55"/>
        <v>8382</v>
      </c>
      <c r="L314" s="372"/>
      <c r="M314" s="372"/>
      <c r="N314" s="372"/>
    </row>
    <row r="315" spans="1:14" s="373" customFormat="1" ht="15.75" hidden="1" outlineLevel="2" x14ac:dyDescent="0.2">
      <c r="A315" s="208" t="s">
        <v>955</v>
      </c>
      <c r="B315" s="100" t="s">
        <v>195</v>
      </c>
      <c r="C315" s="100" t="s">
        <v>196</v>
      </c>
      <c r="D315" s="383" t="s">
        <v>250</v>
      </c>
      <c r="E315" s="277">
        <v>1</v>
      </c>
      <c r="F315" s="277">
        <f>'Затраты подрядчика'!L88</f>
        <v>74036</v>
      </c>
      <c r="G315" s="299">
        <f t="shared" si="53"/>
        <v>1.1279999999999999</v>
      </c>
      <c r="H315" s="339">
        <f t="shared" si="52"/>
        <v>83513</v>
      </c>
      <c r="I315" s="299">
        <f>Дефляторы!$D$244</f>
        <v>1.0780000000000001</v>
      </c>
      <c r="J315" s="339">
        <f t="shared" si="54"/>
        <v>90027</v>
      </c>
      <c r="K315" s="339">
        <f t="shared" si="55"/>
        <v>88073</v>
      </c>
      <c r="L315" s="372"/>
      <c r="M315" s="372"/>
      <c r="N315" s="372"/>
    </row>
    <row r="316" spans="1:14" s="362" customFormat="1" ht="15.75" outlineLevel="1" collapsed="1" x14ac:dyDescent="0.2">
      <c r="A316" s="282" t="s">
        <v>298</v>
      </c>
      <c r="B316" s="283"/>
      <c r="C316" s="283" t="s">
        <v>988</v>
      </c>
      <c r="D316" s="359" t="s">
        <v>250</v>
      </c>
      <c r="E316" s="154">
        <v>1</v>
      </c>
      <c r="F316" s="154">
        <f>F317+F320+F321</f>
        <v>512445</v>
      </c>
      <c r="G316" s="296">
        <f t="shared" si="53"/>
        <v>1.1279999999999999</v>
      </c>
      <c r="H316" s="337">
        <f>H317+H320+H321</f>
        <v>578038</v>
      </c>
      <c r="I316" s="296">
        <f>Дефляторы!$D$244</f>
        <v>1.0780000000000001</v>
      </c>
      <c r="J316" s="337">
        <f>J317+J320+J321</f>
        <v>623126</v>
      </c>
      <c r="K316" s="337">
        <f>K317+K320+K321</f>
        <v>609599</v>
      </c>
      <c r="L316" s="360"/>
      <c r="M316" s="360"/>
      <c r="N316" s="360"/>
    </row>
    <row r="317" spans="1:14" s="373" customFormat="1" ht="15.75" hidden="1" outlineLevel="2" x14ac:dyDescent="0.2">
      <c r="A317" s="208" t="s">
        <v>1185</v>
      </c>
      <c r="B317" s="100" t="s">
        <v>197</v>
      </c>
      <c r="C317" s="100" t="s">
        <v>198</v>
      </c>
      <c r="D317" s="383" t="s">
        <v>250</v>
      </c>
      <c r="E317" s="277">
        <v>1</v>
      </c>
      <c r="F317" s="277">
        <f>F318+F319</f>
        <v>458309</v>
      </c>
      <c r="G317" s="299">
        <f t="shared" si="53"/>
        <v>1.1279999999999999</v>
      </c>
      <c r="H317" s="339">
        <f>H318+H319</f>
        <v>516972</v>
      </c>
      <c r="I317" s="299">
        <f>Дефляторы!$D$244</f>
        <v>1.0780000000000001</v>
      </c>
      <c r="J317" s="339">
        <f>J318+J319</f>
        <v>557296</v>
      </c>
      <c r="K317" s="339">
        <f>K318+K319</f>
        <v>545199</v>
      </c>
      <c r="L317" s="372"/>
      <c r="M317" s="372"/>
      <c r="N317" s="372"/>
    </row>
    <row r="318" spans="1:14" s="390" customFormat="1" ht="15.75" hidden="1" outlineLevel="3" x14ac:dyDescent="0.2">
      <c r="A318" s="191" t="s">
        <v>1186</v>
      </c>
      <c r="B318" s="132" t="s">
        <v>712</v>
      </c>
      <c r="C318" s="132" t="s">
        <v>711</v>
      </c>
      <c r="D318" s="413" t="s">
        <v>250</v>
      </c>
      <c r="E318" s="233">
        <v>1</v>
      </c>
      <c r="F318" s="233">
        <f>32482*0.8*12.36</f>
        <v>321182</v>
      </c>
      <c r="G318" s="387">
        <f t="shared" si="53"/>
        <v>1.1279999999999999</v>
      </c>
      <c r="H318" s="388">
        <f t="shared" si="52"/>
        <v>362293</v>
      </c>
      <c r="I318" s="387">
        <f>Дефляторы!$D$244</f>
        <v>1.0780000000000001</v>
      </c>
      <c r="J318" s="388">
        <f t="shared" ref="J318:J325" si="56">H318*I318</f>
        <v>390552</v>
      </c>
      <c r="K318" s="388">
        <f t="shared" ref="K318:K328" si="57">H318+(J318-H318)*(1-30/100)</f>
        <v>382074</v>
      </c>
      <c r="L318" s="194"/>
      <c r="M318" s="194"/>
      <c r="N318" s="194"/>
    </row>
    <row r="319" spans="1:14" s="390" customFormat="1" ht="15.75" hidden="1" outlineLevel="3" x14ac:dyDescent="0.2">
      <c r="A319" s="191" t="s">
        <v>1187</v>
      </c>
      <c r="B319" s="132" t="s">
        <v>713</v>
      </c>
      <c r="C319" s="132" t="s">
        <v>714</v>
      </c>
      <c r="D319" s="413" t="s">
        <v>250</v>
      </c>
      <c r="E319" s="233">
        <v>1</v>
      </c>
      <c r="F319" s="233">
        <f>13868*0.8*12.36</f>
        <v>137127</v>
      </c>
      <c r="G319" s="387">
        <f t="shared" si="53"/>
        <v>1.1279999999999999</v>
      </c>
      <c r="H319" s="388">
        <f t="shared" si="52"/>
        <v>154679</v>
      </c>
      <c r="I319" s="387">
        <f>Дефляторы!$D$244</f>
        <v>1.0780000000000001</v>
      </c>
      <c r="J319" s="388">
        <f t="shared" si="56"/>
        <v>166744</v>
      </c>
      <c r="K319" s="388">
        <f t="shared" si="57"/>
        <v>163125</v>
      </c>
      <c r="L319" s="194"/>
      <c r="M319" s="194"/>
      <c r="N319" s="194"/>
    </row>
    <row r="320" spans="1:14" s="373" customFormat="1" ht="15.75" hidden="1" outlineLevel="2" collapsed="1" x14ac:dyDescent="0.2">
      <c r="A320" s="208" t="s">
        <v>1188</v>
      </c>
      <c r="B320" s="100" t="s">
        <v>199</v>
      </c>
      <c r="C320" s="100" t="s">
        <v>200</v>
      </c>
      <c r="D320" s="383" t="s">
        <v>250</v>
      </c>
      <c r="E320" s="277">
        <v>1</v>
      </c>
      <c r="F320" s="277">
        <f>'Затраты подрядчика'!L90</f>
        <v>27068</v>
      </c>
      <c r="G320" s="299">
        <f t="shared" si="53"/>
        <v>1.1279999999999999</v>
      </c>
      <c r="H320" s="339">
        <f t="shared" si="52"/>
        <v>30533</v>
      </c>
      <c r="I320" s="299">
        <f>Дефляторы!$D$244</f>
        <v>1.0780000000000001</v>
      </c>
      <c r="J320" s="339">
        <f t="shared" si="56"/>
        <v>32915</v>
      </c>
      <c r="K320" s="339">
        <f t="shared" si="57"/>
        <v>32200</v>
      </c>
      <c r="L320" s="372"/>
      <c r="M320" s="372"/>
      <c r="N320" s="372"/>
    </row>
    <row r="321" spans="1:14" s="373" customFormat="1" ht="15.75" hidden="1" outlineLevel="2" x14ac:dyDescent="0.2">
      <c r="A321" s="208" t="s">
        <v>1189</v>
      </c>
      <c r="B321" s="100" t="s">
        <v>201</v>
      </c>
      <c r="C321" s="100" t="s">
        <v>202</v>
      </c>
      <c r="D321" s="383" t="s">
        <v>250</v>
      </c>
      <c r="E321" s="277">
        <v>1</v>
      </c>
      <c r="F321" s="277">
        <f>'Затраты подрядчика'!L91</f>
        <v>27068</v>
      </c>
      <c r="G321" s="299">
        <f t="shared" si="53"/>
        <v>1.1279999999999999</v>
      </c>
      <c r="H321" s="339">
        <f t="shared" si="52"/>
        <v>30533</v>
      </c>
      <c r="I321" s="299">
        <f>Дефляторы!$D$244</f>
        <v>1.0780000000000001</v>
      </c>
      <c r="J321" s="339">
        <f t="shared" si="56"/>
        <v>32915</v>
      </c>
      <c r="K321" s="339">
        <f t="shared" si="57"/>
        <v>32200</v>
      </c>
      <c r="L321" s="372"/>
      <c r="M321" s="372"/>
      <c r="N321" s="372"/>
    </row>
    <row r="322" spans="1:14" s="362" customFormat="1" ht="15.75" outlineLevel="1" collapsed="1" x14ac:dyDescent="0.2">
      <c r="A322" s="282" t="s">
        <v>299</v>
      </c>
      <c r="B322" s="283" t="s">
        <v>110</v>
      </c>
      <c r="C322" s="283" t="s">
        <v>1391</v>
      </c>
      <c r="D322" s="359" t="s">
        <v>250</v>
      </c>
      <c r="E322" s="154">
        <v>1</v>
      </c>
      <c r="F322" s="154">
        <f>F323+F324</f>
        <v>85343</v>
      </c>
      <c r="G322" s="296"/>
      <c r="H322" s="414">
        <f>H323+H324</f>
        <v>85829</v>
      </c>
      <c r="I322" s="414"/>
      <c r="J322" s="414">
        <f>J323+J324</f>
        <v>86163</v>
      </c>
      <c r="K322" s="414">
        <f>K323+K324</f>
        <v>86063</v>
      </c>
      <c r="L322" s="360"/>
      <c r="M322" s="360"/>
      <c r="N322" s="360"/>
    </row>
    <row r="323" spans="1:14" s="390" customFormat="1" ht="15.75" hidden="1" outlineLevel="2" x14ac:dyDescent="0.2">
      <c r="A323" s="357" t="s">
        <v>1323</v>
      </c>
      <c r="B323" s="132" t="s">
        <v>1315</v>
      </c>
      <c r="C323" s="132" t="s">
        <v>1317</v>
      </c>
      <c r="D323" s="315" t="s">
        <v>250</v>
      </c>
      <c r="E323" s="233">
        <v>1</v>
      </c>
      <c r="F323" s="233">
        <f>(11365+13093)*10.79*'Затраты подрядчика'!$S$83</f>
        <v>3800</v>
      </c>
      <c r="G323" s="387">
        <f>$G$335</f>
        <v>1.1279999999999999</v>
      </c>
      <c r="H323" s="388">
        <f t="shared" si="52"/>
        <v>4286</v>
      </c>
      <c r="I323" s="387">
        <f>Дефляторы!$D$244</f>
        <v>1.0780000000000001</v>
      </c>
      <c r="J323" s="388">
        <f t="shared" si="56"/>
        <v>4620</v>
      </c>
      <c r="K323" s="388">
        <f t="shared" si="57"/>
        <v>4520</v>
      </c>
      <c r="L323" s="194"/>
      <c r="M323" s="194"/>
      <c r="N323" s="194"/>
    </row>
    <row r="324" spans="1:14" s="390" customFormat="1" ht="15.75" hidden="1" outlineLevel="2" x14ac:dyDescent="0.2">
      <c r="A324" s="357" t="s">
        <v>1324</v>
      </c>
      <c r="B324" s="132" t="s">
        <v>1316</v>
      </c>
      <c r="C324" s="132" t="s">
        <v>1318</v>
      </c>
      <c r="D324" s="315" t="s">
        <v>250</v>
      </c>
      <c r="E324" s="233">
        <v>1</v>
      </c>
      <c r="F324" s="233">
        <f>(444051+80760)*10.79*'Затраты подрядчика'!$S$83</f>
        <v>81543</v>
      </c>
      <c r="G324" s="387">
        <v>1</v>
      </c>
      <c r="H324" s="388">
        <f t="shared" si="52"/>
        <v>81543</v>
      </c>
      <c r="I324" s="387">
        <v>1</v>
      </c>
      <c r="J324" s="388">
        <f t="shared" si="56"/>
        <v>81543</v>
      </c>
      <c r="K324" s="388">
        <f t="shared" si="57"/>
        <v>81543</v>
      </c>
      <c r="L324" s="194"/>
      <c r="M324" s="194"/>
      <c r="N324" s="194"/>
    </row>
    <row r="325" spans="1:14" s="362" customFormat="1" ht="15.75" outlineLevel="1" collapsed="1" x14ac:dyDescent="0.2">
      <c r="A325" s="282" t="s">
        <v>1325</v>
      </c>
      <c r="B325" s="283"/>
      <c r="C325" s="283" t="s">
        <v>1209</v>
      </c>
      <c r="D325" s="405" t="s">
        <v>250</v>
      </c>
      <c r="E325" s="154">
        <v>1</v>
      </c>
      <c r="F325" s="154">
        <f>(F312+F316+F322)*2%</f>
        <v>13802</v>
      </c>
      <c r="G325" s="296">
        <f>$G$335</f>
        <v>1.1279999999999999</v>
      </c>
      <c r="H325" s="337">
        <f t="shared" si="52"/>
        <v>15569</v>
      </c>
      <c r="I325" s="296">
        <f>Дефляторы!$D$244</f>
        <v>1.0780000000000001</v>
      </c>
      <c r="J325" s="337">
        <f t="shared" si="56"/>
        <v>16783</v>
      </c>
      <c r="K325" s="337">
        <f t="shared" si="57"/>
        <v>16419</v>
      </c>
      <c r="L325" s="360"/>
      <c r="M325" s="360"/>
      <c r="N325" s="360"/>
    </row>
    <row r="326" spans="1:14" s="369" customFormat="1" ht="15.75" hidden="1" x14ac:dyDescent="0.2">
      <c r="A326" s="464" t="s">
        <v>1412</v>
      </c>
      <c r="B326" s="254"/>
      <c r="C326" s="254" t="s">
        <v>1411</v>
      </c>
      <c r="D326" s="465" t="s">
        <v>250</v>
      </c>
      <c r="E326" s="466">
        <v>1</v>
      </c>
      <c r="F326" s="466">
        <f>F327+F328</f>
        <v>0</v>
      </c>
      <c r="G326" s="469">
        <f>$G$335</f>
        <v>1.1279999999999999</v>
      </c>
      <c r="H326" s="466">
        <f>H327+H328</f>
        <v>0</v>
      </c>
      <c r="I326" s="469">
        <f>Дефляторы!$D$280</f>
        <v>1.052</v>
      </c>
      <c r="J326" s="466">
        <f>J327+J328</f>
        <v>0</v>
      </c>
      <c r="K326" s="466">
        <f>K327+K328</f>
        <v>0</v>
      </c>
      <c r="L326" s="463" t="s">
        <v>1413</v>
      </c>
      <c r="M326" s="463"/>
      <c r="N326" s="463"/>
    </row>
    <row r="327" spans="1:14" s="362" customFormat="1" ht="15.75" hidden="1" outlineLevel="1" x14ac:dyDescent="0.2">
      <c r="A327" s="237" t="s">
        <v>145</v>
      </c>
      <c r="B327" s="238"/>
      <c r="C327" s="238" t="s">
        <v>1411</v>
      </c>
      <c r="D327" s="468" t="s">
        <v>250</v>
      </c>
      <c r="E327" s="240">
        <v>1</v>
      </c>
      <c r="F327" s="240">
        <f>'ССР EL3'!M86*1000*0</f>
        <v>0</v>
      </c>
      <c r="G327" s="469">
        <f>$G$335</f>
        <v>1.1279999999999999</v>
      </c>
      <c r="H327" s="470">
        <f>F327*G327</f>
        <v>0</v>
      </c>
      <c r="I327" s="469">
        <f>Дефляторы!$D$280</f>
        <v>1.052</v>
      </c>
      <c r="J327" s="470">
        <f>H327*I327</f>
        <v>0</v>
      </c>
      <c r="K327" s="470">
        <f t="shared" si="57"/>
        <v>0</v>
      </c>
      <c r="L327" s="461"/>
      <c r="M327" s="461"/>
      <c r="N327" s="461"/>
    </row>
    <row r="328" spans="1:14" s="362" customFormat="1" ht="15.75" hidden="1" outlineLevel="1" x14ac:dyDescent="0.2">
      <c r="A328" s="237" t="s">
        <v>146</v>
      </c>
      <c r="B328" s="238"/>
      <c r="C328" s="238" t="s">
        <v>1209</v>
      </c>
      <c r="D328" s="468" t="s">
        <v>250</v>
      </c>
      <c r="E328" s="240">
        <v>1</v>
      </c>
      <c r="F328" s="240">
        <f>F327*2%</f>
        <v>0</v>
      </c>
      <c r="G328" s="469">
        <f>$G$335</f>
        <v>1.1279999999999999</v>
      </c>
      <c r="H328" s="470">
        <f>F328*G328</f>
        <v>0</v>
      </c>
      <c r="I328" s="469">
        <f>Дефляторы!$D$280</f>
        <v>1.052</v>
      </c>
      <c r="J328" s="470">
        <f>H328*I328</f>
        <v>0</v>
      </c>
      <c r="K328" s="470">
        <f t="shared" si="57"/>
        <v>0</v>
      </c>
      <c r="L328" s="461"/>
      <c r="M328" s="461"/>
      <c r="N328" s="461"/>
    </row>
    <row r="329" spans="1:14" ht="15.75" collapsed="1" x14ac:dyDescent="0.25">
      <c r="A329" s="318"/>
      <c r="B329" s="319"/>
      <c r="C329" s="320" t="s">
        <v>1233</v>
      </c>
      <c r="D329" s="319"/>
      <c r="E329" s="321"/>
      <c r="F329" s="326">
        <f>F12+F15+F311+F326</f>
        <v>100922156</v>
      </c>
      <c r="G329" s="323"/>
      <c r="H329" s="326">
        <f>H12+H15+H311+H326</f>
        <v>113115362</v>
      </c>
      <c r="I329" s="323"/>
      <c r="J329" s="326">
        <f>J12+J15+J311+J326</f>
        <v>118532538</v>
      </c>
      <c r="K329" s="326">
        <f>K12+K15+K311+K326</f>
        <v>116907400</v>
      </c>
    </row>
    <row r="330" spans="1:14" ht="15.75" x14ac:dyDescent="0.25">
      <c r="A330" s="324"/>
      <c r="B330" s="319"/>
      <c r="C330" s="320" t="s">
        <v>1234</v>
      </c>
      <c r="D330" s="319"/>
      <c r="E330" s="321"/>
      <c r="F330" s="322">
        <f>F329*0.2</f>
        <v>20184431.199999999</v>
      </c>
      <c r="G330" s="323"/>
      <c r="H330" s="322">
        <f>H329*0.2</f>
        <v>22623072.399999999</v>
      </c>
      <c r="I330" s="323"/>
      <c r="J330" s="322">
        <f>J329*0.2</f>
        <v>23706507.600000001</v>
      </c>
      <c r="K330" s="322">
        <f>K329*0.2</f>
        <v>23381480</v>
      </c>
    </row>
    <row r="331" spans="1:14" ht="15.75" x14ac:dyDescent="0.25">
      <c r="A331" s="324"/>
      <c r="B331" s="319"/>
      <c r="C331" s="320" t="s">
        <v>1235</v>
      </c>
      <c r="D331" s="319"/>
      <c r="E331" s="321"/>
      <c r="F331" s="322">
        <f>F329+F330</f>
        <v>121106587.2</v>
      </c>
      <c r="G331" s="323"/>
      <c r="H331" s="322">
        <f>H329+H330</f>
        <v>135738434.40000001</v>
      </c>
      <c r="I331" s="323"/>
      <c r="J331" s="322">
        <f>J329+J330</f>
        <v>142239045.59999999</v>
      </c>
      <c r="K331" s="322">
        <f>K329+K330</f>
        <v>140288880</v>
      </c>
    </row>
    <row r="332" spans="1:14" ht="15" x14ac:dyDescent="0.25">
      <c r="A332" s="207"/>
      <c r="B332" s="163"/>
      <c r="C332" s="164"/>
      <c r="D332" s="165"/>
      <c r="E332" s="166"/>
      <c r="F332" s="166"/>
    </row>
    <row r="333" spans="1:14" ht="15" hidden="1" x14ac:dyDescent="0.25">
      <c r="A333" s="207"/>
      <c r="B333" s="163"/>
      <c r="C333" s="164"/>
      <c r="D333" s="165"/>
      <c r="E333" s="166"/>
      <c r="F333" s="166"/>
    </row>
    <row r="334" spans="1:14" ht="15" hidden="1" x14ac:dyDescent="0.25">
      <c r="A334" s="207"/>
      <c r="B334" s="163"/>
      <c r="C334" s="164"/>
      <c r="D334" s="165"/>
      <c r="E334" s="166"/>
      <c r="F334" s="166"/>
      <c r="H334" s="336"/>
      <c r="J334" s="336"/>
      <c r="K334" s="355"/>
    </row>
    <row r="335" spans="1:14" ht="76.150000000000006" customHeight="1" x14ac:dyDescent="0.25">
      <c r="A335" s="621" t="s">
        <v>1446</v>
      </c>
      <c r="B335" s="621"/>
      <c r="C335" s="621"/>
      <c r="D335" s="333"/>
      <c r="F335" s="335"/>
      <c r="G335" s="334">
        <f>1.0312*1.0258*1.0358*1.0253*1.0141*0.9939*0.9958*1</f>
        <v>1.1279999999999999</v>
      </c>
      <c r="H335" s="292"/>
      <c r="I335" s="334"/>
      <c r="J335" s="292"/>
      <c r="K335" s="292"/>
    </row>
    <row r="336" spans="1:14" ht="15.75" x14ac:dyDescent="0.25">
      <c r="A336" s="335"/>
      <c r="B336" s="335"/>
      <c r="C336" s="335"/>
      <c r="D336" s="335"/>
      <c r="E336" s="335"/>
      <c r="F336" s="335"/>
      <c r="G336" s="292"/>
      <c r="H336" s="292"/>
      <c r="I336" s="292"/>
      <c r="J336" s="292"/>
      <c r="K336" s="292"/>
    </row>
    <row r="337" spans="1:11" ht="15.75" x14ac:dyDescent="0.25">
      <c r="A337" s="293" t="s">
        <v>1247</v>
      </c>
      <c r="B337" s="293"/>
      <c r="C337" s="293"/>
      <c r="D337" s="293"/>
      <c r="E337" s="293"/>
      <c r="F337" s="293"/>
      <c r="G337" s="292"/>
      <c r="H337" s="292"/>
      <c r="I337" s="292"/>
      <c r="J337" s="292"/>
      <c r="K337" s="292"/>
    </row>
    <row r="338" spans="1:11" ht="15.75" x14ac:dyDescent="0.25">
      <c r="A338" s="639" t="s">
        <v>1447</v>
      </c>
      <c r="B338" s="639"/>
      <c r="C338" s="639"/>
      <c r="D338" s="639"/>
      <c r="E338" s="639"/>
      <c r="F338" s="639"/>
      <c r="G338" s="639"/>
      <c r="H338" s="292"/>
      <c r="I338" s="292"/>
      <c r="J338" s="292"/>
      <c r="K338" s="292"/>
    </row>
    <row r="339" spans="1:11" ht="30.6" customHeight="1" x14ac:dyDescent="0.25">
      <c r="A339" s="622" t="s">
        <v>1248</v>
      </c>
      <c r="B339" s="622"/>
      <c r="C339" s="622"/>
      <c r="D339" s="622"/>
      <c r="E339" s="622"/>
      <c r="F339" s="622"/>
      <c r="G339" s="292"/>
      <c r="H339" s="292"/>
      <c r="I339" s="292"/>
      <c r="J339" s="292"/>
      <c r="K339" s="292"/>
    </row>
    <row r="340" spans="1:11" ht="15" x14ac:dyDescent="0.25">
      <c r="A340" s="207"/>
      <c r="B340" s="163"/>
      <c r="C340" s="164"/>
      <c r="D340" s="165"/>
      <c r="E340" s="166"/>
      <c r="F340" s="166"/>
    </row>
    <row r="341" spans="1:11" ht="15" x14ac:dyDescent="0.25">
      <c r="A341" s="207"/>
      <c r="B341" t="s">
        <v>300</v>
      </c>
      <c r="C341" s="164"/>
      <c r="D341" s="165"/>
      <c r="E341" s="166"/>
      <c r="F341" s="166"/>
    </row>
    <row r="342" spans="1:11" ht="15" x14ac:dyDescent="0.25">
      <c r="A342" s="207"/>
      <c r="C342" s="164"/>
      <c r="D342" s="165"/>
      <c r="E342" s="166"/>
      <c r="F342" s="166"/>
    </row>
    <row r="343" spans="1:11" ht="15" x14ac:dyDescent="0.25">
      <c r="A343" s="207"/>
      <c r="B343" t="s">
        <v>301</v>
      </c>
      <c r="C343" s="164"/>
      <c r="D343" s="165"/>
      <c r="E343" s="166"/>
      <c r="F343" s="166"/>
    </row>
  </sheetData>
  <mergeCells count="10">
    <mergeCell ref="A1:H1"/>
    <mergeCell ref="B3:H3"/>
    <mergeCell ref="A7:H7"/>
    <mergeCell ref="A8:H8"/>
    <mergeCell ref="L200:L201"/>
    <mergeCell ref="A339:F339"/>
    <mergeCell ref="A335:C335"/>
    <mergeCell ref="L118:L119"/>
    <mergeCell ref="L296:L297"/>
    <mergeCell ref="A338:G3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ГПР</vt:lpstr>
      <vt:lpstr>ПЗ</vt:lpstr>
      <vt:lpstr>НМЦ</vt:lpstr>
      <vt:lpstr>Протокол НМЦК</vt:lpstr>
      <vt:lpstr>Проект сметы контракта</vt:lpstr>
      <vt:lpstr>Ведомость объемов</vt:lpstr>
      <vt:lpstr>Дефляторы</vt:lpstr>
      <vt:lpstr>Расчет стоимости шеф-монтажа</vt:lpstr>
      <vt:lpstr>НМЦК</vt:lpstr>
      <vt:lpstr>Затраты подрядчика</vt:lpstr>
      <vt:lpstr>ССР EL3</vt:lpstr>
      <vt:lpstr>Дефляторы (черновик)</vt:lpstr>
      <vt:lpstr>Ведомость объемов черновик</vt:lpstr>
      <vt:lpstr>Ведомость объемов (по сметам)</vt:lpstr>
      <vt:lpstr>'Затраты подрядчика'!Print_Titles</vt:lpstr>
      <vt:lpstr>'ССР EL3'!Print_Titles</vt:lpstr>
      <vt:lpstr>'Затраты подрядчика'!Заголовки_для_печати</vt:lpstr>
      <vt:lpstr>'ССР EL3'!Заголовки_для_печати</vt:lpstr>
      <vt:lpstr>'Ведомость объемов'!Область_печати</vt:lpstr>
      <vt:lpstr>'Ведомость объемов (по сметам)'!Область_печати</vt:lpstr>
      <vt:lpstr>'Ведомость объемов черновик'!Область_печати</vt:lpstr>
      <vt:lpstr>ГПР!Область_печати</vt:lpstr>
      <vt:lpstr>'Затраты подрядчика'!Область_печати</vt:lpstr>
      <vt:lpstr>НМЦ!Область_печати</vt:lpstr>
      <vt:lpstr>НМЦК!Область_печати</vt:lpstr>
      <vt:lpstr>'Проект сметы контракта'!Область_печати</vt:lpstr>
      <vt:lpstr>'Расчет стоимости шеф-монтажа'!Область_печати</vt:lpstr>
      <vt:lpstr>'ССР EL3'!Область_печати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Непорезова Анна Сергеевна</dc:creator>
  <cp:lastModifiedBy>Токарев Игорь Александрович</cp:lastModifiedBy>
  <cp:lastPrinted>2020-09-10T15:19:21Z</cp:lastPrinted>
  <dcterms:created xsi:type="dcterms:W3CDTF">2002-03-25T05:35:56Z</dcterms:created>
  <dcterms:modified xsi:type="dcterms:W3CDTF">2020-09-14T13:13:40Z</dcterms:modified>
</cp:coreProperties>
</file>